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Energy Management\Larry\Lee Richie\"/>
    </mc:Choice>
  </mc:AlternateContent>
  <bookViews>
    <workbookView xWindow="0" yWindow="0" windowWidth="23040" windowHeight="9396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E37" i="1"/>
  <c r="C37" i="1"/>
  <c r="R35" i="1"/>
  <c r="H35" i="1"/>
  <c r="I34" i="1"/>
  <c r="I36" i="1" s="1"/>
  <c r="I38" i="1" s="1"/>
  <c r="R32" i="1"/>
  <c r="H32" i="1"/>
  <c r="E32" i="1"/>
  <c r="D32" i="1"/>
  <c r="B32" i="1"/>
  <c r="R31" i="1"/>
  <c r="J31" i="1"/>
  <c r="H31" i="1" s="1"/>
  <c r="D31" i="1"/>
  <c r="N30" i="1"/>
  <c r="J30" i="1"/>
  <c r="J34" i="1" s="1"/>
  <c r="J36" i="1" s="1"/>
  <c r="J38" i="1" s="1"/>
  <c r="I30" i="1"/>
  <c r="R29" i="1"/>
  <c r="P29" i="1" s="1"/>
  <c r="L29" i="1"/>
  <c r="H29" i="1"/>
  <c r="B29" i="1"/>
  <c r="R28" i="1"/>
  <c r="P28" i="1" s="1"/>
  <c r="L28" i="1"/>
  <c r="H28" i="1"/>
  <c r="H22" i="1" s="1"/>
  <c r="G28" i="1"/>
  <c r="E28" i="1"/>
  <c r="D28" i="1"/>
  <c r="D22" i="1" s="1"/>
  <c r="C28" i="1"/>
  <c r="C22" i="1" s="1"/>
  <c r="B28" i="1"/>
  <c r="R27" i="1"/>
  <c r="L27" i="1"/>
  <c r="P27" i="1" s="1"/>
  <c r="H27" i="1"/>
  <c r="G27" i="1"/>
  <c r="E27" i="1"/>
  <c r="E21" i="1" s="1"/>
  <c r="D27" i="1"/>
  <c r="D21" i="1" s="1"/>
  <c r="C27" i="1"/>
  <c r="B27" i="1"/>
  <c r="R26" i="1"/>
  <c r="P26" i="1"/>
  <c r="P30" i="1" s="1"/>
  <c r="L26" i="1"/>
  <c r="H26" i="1"/>
  <c r="H30" i="1" s="1"/>
  <c r="G26" i="1"/>
  <c r="G20" i="1" s="1"/>
  <c r="E26" i="1"/>
  <c r="E30" i="1" s="1"/>
  <c r="D26" i="1"/>
  <c r="D30" i="1" s="1"/>
  <c r="C26" i="1"/>
  <c r="C30" i="1" s="1"/>
  <c r="B26" i="1"/>
  <c r="B30" i="1" s="1"/>
  <c r="R23" i="1"/>
  <c r="I23" i="1"/>
  <c r="G23" i="1"/>
  <c r="D23" i="1"/>
  <c r="C23" i="1"/>
  <c r="R22" i="1"/>
  <c r="J22" i="1"/>
  <c r="I22" i="1"/>
  <c r="G22" i="1"/>
  <c r="R21" i="1"/>
  <c r="J21" i="1"/>
  <c r="I21" i="1"/>
  <c r="G21" i="1"/>
  <c r="C21" i="1"/>
  <c r="R20" i="1"/>
  <c r="J20" i="1"/>
  <c r="I20" i="1"/>
  <c r="D20" i="1"/>
  <c r="C20" i="1"/>
  <c r="B20" i="1"/>
  <c r="R17" i="1"/>
  <c r="P17" i="1" s="1"/>
  <c r="L17" i="1"/>
  <c r="H17" i="1"/>
  <c r="H23" i="1" s="1"/>
  <c r="R16" i="1"/>
  <c r="P16" i="1" s="1"/>
  <c r="L16" i="1"/>
  <c r="H16" i="1"/>
  <c r="R15" i="1"/>
  <c r="P15" i="1" s="1"/>
  <c r="L15" i="1"/>
  <c r="H15" i="1"/>
  <c r="H21" i="1" s="1"/>
  <c r="R14" i="1"/>
  <c r="P14" i="1" s="1"/>
  <c r="L14" i="1"/>
  <c r="H14" i="1"/>
  <c r="H20" i="1" s="1"/>
  <c r="R12" i="1"/>
  <c r="P12" i="1" s="1"/>
  <c r="N12" i="1"/>
  <c r="L12" i="1"/>
  <c r="G12" i="1"/>
  <c r="D43" i="1" l="1"/>
  <c r="D34" i="1"/>
  <c r="D36" i="1" s="1"/>
  <c r="D38" i="1" s="1"/>
  <c r="P21" i="1"/>
  <c r="C43" i="1"/>
  <c r="C34" i="1"/>
  <c r="C36" i="1" s="1"/>
  <c r="C38" i="1" s="1"/>
  <c r="H34" i="1"/>
  <c r="H36" i="1" s="1"/>
  <c r="H38" i="1" s="1"/>
  <c r="H43" i="1"/>
  <c r="E43" i="1"/>
  <c r="E34" i="1"/>
  <c r="E36" i="1" s="1"/>
  <c r="E38" i="1" s="1"/>
  <c r="B43" i="1"/>
  <c r="B34" i="1"/>
  <c r="B36" i="1" s="1"/>
  <c r="B38" i="1" s="1"/>
  <c r="P22" i="1"/>
  <c r="P23" i="1"/>
  <c r="L30" i="1"/>
  <c r="R30" i="1"/>
  <c r="G30" i="1"/>
  <c r="G34" i="1" s="1"/>
  <c r="G36" i="1" s="1"/>
  <c r="G38" i="1" s="1"/>
  <c r="P20" i="1"/>
  <c r="R43" i="1" l="1"/>
  <c r="R34" i="1"/>
  <c r="R36" i="1" s="1"/>
  <c r="R38" i="1" s="1"/>
  <c r="R41" i="1" s="1"/>
</calcChain>
</file>

<file path=xl/sharedStrings.xml><?xml version="1.0" encoding="utf-8"?>
<sst xmlns="http://schemas.openxmlformats.org/spreadsheetml/2006/main" count="74" uniqueCount="52">
  <si>
    <t>Wayne State University</t>
  </si>
  <si>
    <t>Utilities (Actuals) from 2012 to Present and Projected Budget for FY2016 and FY2017</t>
  </si>
  <si>
    <t>by Consumption, Rate and Cost</t>
  </si>
  <si>
    <r>
      <t>(This Budget</t>
    </r>
    <r>
      <rPr>
        <b/>
        <u val="singleAccounting"/>
        <sz val="12"/>
        <rFont val="Arial"/>
        <family val="2"/>
      </rPr>
      <t xml:space="preserve"> does not</t>
    </r>
    <r>
      <rPr>
        <sz val="12"/>
        <rFont val="Arial"/>
        <family val="2"/>
      </rPr>
      <t xml:space="preserve"> include Hudson -Weber/DMC Utilities which is Budgeted Separately)</t>
    </r>
  </si>
  <si>
    <t>October 3, 2016</t>
  </si>
  <si>
    <t>Schedule 1</t>
  </si>
  <si>
    <t xml:space="preserve"> </t>
  </si>
  <si>
    <t>FY 2017</t>
  </si>
  <si>
    <t>FY2016</t>
  </si>
  <si>
    <t xml:space="preserve">Projected </t>
  </si>
  <si>
    <t xml:space="preserve">Remainder </t>
  </si>
  <si>
    <t>Year-to-Date</t>
  </si>
  <si>
    <t>Buildings</t>
  </si>
  <si>
    <t xml:space="preserve">Total </t>
  </si>
  <si>
    <t>Total</t>
  </si>
  <si>
    <t>Budget</t>
  </si>
  <si>
    <t>of Year</t>
  </si>
  <si>
    <t>Additions</t>
  </si>
  <si>
    <t>Deletions</t>
  </si>
  <si>
    <t>without</t>
  </si>
  <si>
    <t xml:space="preserve">with </t>
  </si>
  <si>
    <t>as Submitted</t>
  </si>
  <si>
    <t>Add. &amp; Del.</t>
  </si>
  <si>
    <t xml:space="preserve">General Fund Gross Square Feet </t>
  </si>
  <si>
    <t>Consumption:</t>
  </si>
  <si>
    <t xml:space="preserve">  Gas (mcf)</t>
  </si>
  <si>
    <t xml:space="preserve">  Water (ccf)</t>
  </si>
  <si>
    <t xml:space="preserve">  Electric (kwh)</t>
  </si>
  <si>
    <t xml:space="preserve">  Steam (1000 lbs)</t>
  </si>
  <si>
    <r>
      <t>Rates:</t>
    </r>
    <r>
      <rPr>
        <b/>
        <sz val="8"/>
        <rFont val="Arial"/>
        <family val="2"/>
      </rPr>
      <t xml:space="preserve"> (calculated)</t>
    </r>
  </si>
  <si>
    <t xml:space="preserve">  Gas </t>
  </si>
  <si>
    <t xml:space="preserve">  Water</t>
  </si>
  <si>
    <t xml:space="preserve">  Electric</t>
  </si>
  <si>
    <t xml:space="preserve">  Steam</t>
  </si>
  <si>
    <t>Cost</t>
  </si>
  <si>
    <t>B</t>
  </si>
  <si>
    <t xml:space="preserve">  Water </t>
  </si>
  <si>
    <t>C</t>
  </si>
  <si>
    <t xml:space="preserve">  Electric </t>
  </si>
  <si>
    <t>D</t>
  </si>
  <si>
    <t xml:space="preserve">  Steam </t>
  </si>
  <si>
    <t>E</t>
  </si>
  <si>
    <t>Total Utilities</t>
  </si>
  <si>
    <t>Other Utility Related Expenses</t>
  </si>
  <si>
    <t>N</t>
  </si>
  <si>
    <t>Energy Management Maintenance</t>
  </si>
  <si>
    <t>M</t>
  </si>
  <si>
    <t>Bad Debt  (MCHT)</t>
  </si>
  <si>
    <t xml:space="preserve">Net impact of accrual </t>
  </si>
  <si>
    <t>Net FY17 Utility Budget</t>
  </si>
  <si>
    <t xml:space="preserve">Cost per Gross Square Foot </t>
  </si>
  <si>
    <t>Variance FY16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</si>
</sst>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_);_([$$-409]* \(#,##0\);_([$$-409]* &quot;-&quot;_);_(@_)"/>
    <numFmt numFmtId="165" formatCode="0_);\(0\)"/>
    <numFmt numFmtId="166" formatCode="_(* #,##0_);_(* \(#,##0\);_(* &quot;-&quot;??_);_(@_)"/>
    <numFmt numFmtId="167" formatCode="&quot;$&quot;#,##0.000_);\(&quot;$&quot;#,##0.000\)"/>
    <numFmt numFmtId="168" formatCode="_([$$-409]* #,##0.000_);_([$$-409]* \(#,##0.000\);_([$$-409]* &quot;-&quot;_);_(@_)"/>
    <numFmt numFmtId="169" formatCode="&quot;$&quot;#,##0.000"/>
    <numFmt numFmtId="170" formatCode="0.00_);\(0.00\)"/>
    <numFmt numFmtId="172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sz val="12"/>
      <name val="Arial"/>
      <family val="2"/>
    </font>
    <font>
      <b/>
      <u val="singleAccounting"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FF3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0" fillId="0" borderId="0" xfId="0" applyFill="1" applyAlignment="1">
      <alignment horizontal="center"/>
    </xf>
    <xf numFmtId="0" fontId="3" fillId="0" borderId="0" xfId="0" applyFont="1"/>
    <xf numFmtId="0" fontId="0" fillId="0" borderId="0" xfId="0" applyFill="1"/>
    <xf numFmtId="164" fontId="5" fillId="2" borderId="1" xfId="0" quotePrefix="1" applyNumberFormat="1" applyFont="1" applyFill="1" applyBorder="1" applyAlignment="1">
      <alignment horizontal="left"/>
    </xf>
    <xf numFmtId="0" fontId="5" fillId="3" borderId="2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6" fillId="0" borderId="0" xfId="0" quotePrefix="1" applyFont="1"/>
    <xf numFmtId="0" fontId="0" fillId="0" borderId="0" xfId="0" applyAlignment="1">
      <alignment horizontal="center"/>
    </xf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0" fillId="0" borderId="5" xfId="0" applyBorder="1"/>
    <xf numFmtId="0" fontId="7" fillId="0" borderId="6" xfId="0" applyFont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0" fillId="0" borderId="8" xfId="0" applyBorder="1"/>
    <xf numFmtId="0" fontId="7" fillId="0" borderId="0" xfId="0" applyFont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38" fontId="0" fillId="0" borderId="0" xfId="0" applyNumberFormat="1" applyFill="1"/>
    <xf numFmtId="166" fontId="0" fillId="0" borderId="0" xfId="1" applyNumberFormat="1" applyFont="1"/>
    <xf numFmtId="38" fontId="0" fillId="0" borderId="0" xfId="0" applyNumberFormat="1"/>
    <xf numFmtId="3" fontId="0" fillId="0" borderId="0" xfId="0" applyNumberFormat="1" applyFill="1" applyAlignment="1">
      <alignment horizontal="right"/>
    </xf>
    <xf numFmtId="3" fontId="0" fillId="0" borderId="0" xfId="0" applyNumberFormat="1" applyFill="1" applyAlignment="1">
      <alignment horizontal="center"/>
    </xf>
    <xf numFmtId="38" fontId="6" fillId="0" borderId="0" xfId="0" applyNumberFormat="1" applyFont="1" applyAlignment="1">
      <alignment horizontal="right"/>
    </xf>
    <xf numFmtId="37" fontId="6" fillId="0" borderId="0" xfId="0" applyNumberFormat="1" applyFont="1"/>
    <xf numFmtId="0" fontId="7" fillId="0" borderId="0" xfId="0" applyFont="1"/>
    <xf numFmtId="166" fontId="6" fillId="0" borderId="0" xfId="1" applyNumberFormat="1" applyFont="1" applyFill="1"/>
    <xf numFmtId="0" fontId="0" fillId="0" borderId="0" xfId="0" applyFill="1" applyAlignment="1">
      <alignment horizontal="right"/>
    </xf>
    <xf numFmtId="3" fontId="0" fillId="0" borderId="0" xfId="0" applyNumberFormat="1"/>
    <xf numFmtId="37" fontId="0" fillId="0" borderId="0" xfId="0" applyNumberFormat="1"/>
    <xf numFmtId="3" fontId="6" fillId="0" borderId="0" xfId="0" applyNumberFormat="1" applyFont="1" applyFill="1"/>
    <xf numFmtId="3" fontId="6" fillId="5" borderId="0" xfId="0" applyNumberFormat="1" applyFont="1" applyFill="1"/>
    <xf numFmtId="37" fontId="0" fillId="6" borderId="0" xfId="0" applyNumberFormat="1" applyFill="1" applyAlignment="1">
      <alignment horizontal="right"/>
    </xf>
    <xf numFmtId="166" fontId="0" fillId="0" borderId="0" xfId="1" applyNumberFormat="1" applyFont="1" applyFill="1"/>
    <xf numFmtId="3" fontId="0" fillId="0" borderId="0" xfId="0" applyNumberFormat="1" applyFill="1"/>
    <xf numFmtId="3" fontId="0" fillId="5" borderId="0" xfId="0" applyNumberFormat="1" applyFill="1"/>
    <xf numFmtId="0" fontId="6" fillId="0" borderId="0" xfId="0" applyFont="1" applyFill="1"/>
    <xf numFmtId="38" fontId="0" fillId="0" borderId="0" xfId="0" applyNumberFormat="1" applyFill="1" applyAlignment="1">
      <alignment horizontal="right"/>
    </xf>
    <xf numFmtId="0" fontId="6" fillId="0" borderId="0" xfId="0" applyFont="1"/>
    <xf numFmtId="167" fontId="0" fillId="0" borderId="0" xfId="0" applyNumberFormat="1" applyFill="1"/>
    <xf numFmtId="168" fontId="0" fillId="0" borderId="0" xfId="0" applyNumberFormat="1"/>
    <xf numFmtId="167" fontId="0" fillId="0" borderId="0" xfId="0" applyNumberFormat="1" applyFill="1" applyAlignment="1">
      <alignment horizontal="center"/>
    </xf>
    <xf numFmtId="169" fontId="0" fillId="0" borderId="0" xfId="0" applyNumberFormat="1"/>
    <xf numFmtId="167" fontId="0" fillId="0" borderId="0" xfId="0" applyNumberFormat="1"/>
    <xf numFmtId="169" fontId="0" fillId="0" borderId="0" xfId="0" applyNumberFormat="1" applyFill="1"/>
    <xf numFmtId="167" fontId="6" fillId="0" borderId="0" xfId="0" applyNumberFormat="1" applyFont="1" applyFill="1" applyAlignment="1">
      <alignment horizontal="center"/>
    </xf>
    <xf numFmtId="7" fontId="0" fillId="0" borderId="0" xfId="0" applyNumberFormat="1" applyFill="1"/>
    <xf numFmtId="7" fontId="0" fillId="0" borderId="0" xfId="0" applyNumberForma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42" fontId="0" fillId="0" borderId="0" xfId="0" applyNumberFormat="1"/>
    <xf numFmtId="42" fontId="0" fillId="0" borderId="0" xfId="0" applyNumberFormat="1" applyFill="1"/>
    <xf numFmtId="42" fontId="6" fillId="5" borderId="0" xfId="0" applyNumberFormat="1" applyFont="1" applyFill="1"/>
    <xf numFmtId="42" fontId="0" fillId="0" borderId="0" xfId="0" applyNumberFormat="1" applyFill="1" applyAlignment="1">
      <alignment horizontal="center"/>
    </xf>
    <xf numFmtId="42" fontId="0" fillId="5" borderId="0" xfId="0" applyNumberFormat="1" applyFill="1"/>
    <xf numFmtId="5" fontId="0" fillId="0" borderId="0" xfId="0" applyNumberFormat="1" applyFill="1"/>
    <xf numFmtId="42" fontId="0" fillId="0" borderId="12" xfId="0" applyNumberFormat="1" applyBorder="1"/>
    <xf numFmtId="42" fontId="0" fillId="0" borderId="12" xfId="0" applyNumberFormat="1" applyFill="1" applyBorder="1"/>
    <xf numFmtId="42" fontId="0" fillId="5" borderId="12" xfId="0" applyNumberFormat="1" applyFill="1" applyBorder="1"/>
    <xf numFmtId="42" fontId="0" fillId="0" borderId="12" xfId="0" applyNumberFormat="1" applyFill="1" applyBorder="1" applyAlignment="1">
      <alignment horizontal="center"/>
    </xf>
    <xf numFmtId="42" fontId="6" fillId="0" borderId="0" xfId="0" applyNumberFormat="1" applyFont="1"/>
    <xf numFmtId="42" fontId="0" fillId="0" borderId="0" xfId="0" applyNumberFormat="1" applyFill="1" applyBorder="1"/>
    <xf numFmtId="42" fontId="6" fillId="0" borderId="0" xfId="0" applyNumberFormat="1" applyFont="1" applyAlignment="1">
      <alignment horizontal="center"/>
    </xf>
    <xf numFmtId="42" fontId="6" fillId="0" borderId="12" xfId="0" applyNumberFormat="1" applyFont="1" applyBorder="1"/>
    <xf numFmtId="42" fontId="6" fillId="0" borderId="12" xfId="0" applyNumberFormat="1" applyFont="1" applyFill="1" applyBorder="1" applyAlignment="1">
      <alignment horizontal="center"/>
    </xf>
    <xf numFmtId="42" fontId="7" fillId="0" borderId="0" xfId="0" applyNumberFormat="1" applyFont="1" applyFill="1"/>
    <xf numFmtId="42" fontId="7" fillId="0" borderId="0" xfId="0" applyNumberFormat="1" applyFont="1"/>
    <xf numFmtId="4" fontId="6" fillId="0" borderId="0" xfId="0" applyNumberFormat="1" applyFont="1" applyFill="1" applyAlignment="1">
      <alignment horizontal="center"/>
    </xf>
    <xf numFmtId="5" fontId="10" fillId="0" borderId="0" xfId="0" applyNumberFormat="1" applyFont="1"/>
    <xf numFmtId="0" fontId="6" fillId="0" borderId="12" xfId="0" applyFont="1" applyBorder="1"/>
    <xf numFmtId="42" fontId="7" fillId="0" borderId="12" xfId="0" applyNumberFormat="1" applyFont="1" applyFill="1" applyBorder="1"/>
    <xf numFmtId="42" fontId="7" fillId="0" borderId="12" xfId="0" applyNumberFormat="1" applyFont="1" applyBorder="1"/>
    <xf numFmtId="5" fontId="6" fillId="0" borderId="12" xfId="0" applyNumberFormat="1" applyFont="1" applyFill="1" applyBorder="1" applyAlignment="1">
      <alignment horizontal="left"/>
    </xf>
    <xf numFmtId="5" fontId="7" fillId="0" borderId="12" xfId="0" applyNumberFormat="1" applyFont="1" applyFill="1" applyBorder="1" applyAlignment="1">
      <alignment horizontal="center"/>
    </xf>
    <xf numFmtId="5" fontId="6" fillId="0" borderId="12" xfId="0" applyNumberFormat="1" applyFont="1" applyBorder="1"/>
    <xf numFmtId="5" fontId="0" fillId="0" borderId="12" xfId="0" applyNumberFormat="1" applyBorder="1"/>
    <xf numFmtId="42" fontId="7" fillId="0" borderId="0" xfId="0" applyNumberFormat="1" applyFont="1" applyFill="1" applyBorder="1" applyAlignment="1">
      <alignment horizontal="center"/>
    </xf>
    <xf numFmtId="5" fontId="7" fillId="0" borderId="0" xfId="0" applyNumberFormat="1" applyFont="1" applyFill="1" applyAlignment="1">
      <alignment horizontal="center"/>
    </xf>
    <xf numFmtId="5" fontId="6" fillId="0" borderId="0" xfId="0" applyNumberFormat="1" applyFont="1"/>
    <xf numFmtId="5" fontId="0" fillId="0" borderId="0" xfId="0" applyNumberFormat="1"/>
    <xf numFmtId="0" fontId="0" fillId="0" borderId="12" xfId="0" applyBorder="1"/>
    <xf numFmtId="42" fontId="0" fillId="0" borderId="0" xfId="0" applyNumberForma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0" fontId="0" fillId="5" borderId="13" xfId="0" applyFill="1" applyBorder="1"/>
    <xf numFmtId="0" fontId="0" fillId="5" borderId="14" xfId="0" applyFill="1" applyBorder="1"/>
    <xf numFmtId="5" fontId="11" fillId="5" borderId="16" xfId="0" applyNumberFormat="1" applyFont="1" applyFill="1" applyBorder="1"/>
    <xf numFmtId="5" fontId="11" fillId="5" borderId="12" xfId="0" applyNumberFormat="1" applyFont="1" applyFill="1" applyBorder="1"/>
    <xf numFmtId="0" fontId="12" fillId="5" borderId="12" xfId="0" applyFont="1" applyFill="1" applyBorder="1"/>
    <xf numFmtId="170" fontId="0" fillId="0" borderId="0" xfId="0" applyNumberFormat="1"/>
    <xf numFmtId="170" fontId="6" fillId="0" borderId="0" xfId="0" applyNumberFormat="1" applyFont="1"/>
    <xf numFmtId="7" fontId="0" fillId="0" borderId="0" xfId="0" applyNumberFormat="1"/>
    <xf numFmtId="172" fontId="0" fillId="0" borderId="0" xfId="2" applyNumberFormat="1" applyFont="1"/>
    <xf numFmtId="172" fontId="0" fillId="5" borderId="15" xfId="2" applyNumberFormat="1" applyFont="1" applyFill="1" applyBorder="1"/>
    <xf numFmtId="172" fontId="11" fillId="5" borderId="17" xfId="2" applyNumberFormat="1" applyFont="1" applyFill="1" applyBorder="1"/>
    <xf numFmtId="0" fontId="13" fillId="6" borderId="5" xfId="0" applyFont="1" applyFill="1" applyBorder="1"/>
    <xf numFmtId="0" fontId="13" fillId="6" borderId="6" xfId="0" applyFont="1" applyFill="1" applyBorder="1"/>
    <xf numFmtId="172" fontId="14" fillId="6" borderId="6" xfId="0" applyNumberFormat="1" applyFont="1" applyFill="1" applyBorder="1"/>
    <xf numFmtId="0" fontId="13" fillId="6" borderId="18" xfId="0" applyFont="1" applyFill="1" applyBorder="1"/>
    <xf numFmtId="0" fontId="13" fillId="6" borderId="9" xfId="0" applyFont="1" applyFill="1" applyBorder="1"/>
    <xf numFmtId="0" fontId="13" fillId="6" borderId="10" xfId="0" applyFont="1" applyFill="1" applyBorder="1"/>
    <xf numFmtId="0" fontId="13" fillId="6" borderId="11" xfId="0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PM%20Energy%20Management/New%20Energy/Utility%20Budget/FY17%20Utility%20Budget/FY16%20Yr%20End%20Gen%20Fund%20Util%20Budget%20-Oct%203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s"/>
      <sheetName val="Budget"/>
      <sheetName val="Budget to Actuals"/>
      <sheetName val="Accruals"/>
      <sheetName val="Energy Management"/>
      <sheetName val="Bldg Change"/>
      <sheetName val=" Projected YE"/>
      <sheetName val="Year End Calculations"/>
      <sheetName val=" Misc Impacts"/>
      <sheetName val=" Costs and Emissions"/>
      <sheetName val="Monthly Summary"/>
      <sheetName val="Summary (G.F)"/>
      <sheetName val="Area Summary"/>
      <sheetName val="Energy Intensity"/>
      <sheetName val="Ranking Energy Intensity"/>
      <sheetName val="G.F.Research"/>
      <sheetName val="G.F. Medical"/>
      <sheetName val="G.F. Classroom"/>
      <sheetName val="G. F. Admin"/>
      <sheetName val="G.F. Library"/>
      <sheetName val="G.F. Misc"/>
      <sheetName val="Non Gen Fund "/>
      <sheetName val="Non Gen Energy Intensity"/>
      <sheetName val=" Gen Fund YTD"/>
      <sheetName val="Non-GF FY14vFY13"/>
      <sheetName val="Cluster Plts"/>
      <sheetName val="Lande &amp; Scott Hall"/>
      <sheetName val="Life Sci"/>
      <sheetName val="Shiffman Lib "/>
      <sheetName val="Bio Sci N.Gas &amp;Sci EngLib Water"/>
      <sheetName val="Chem &amp; Others"/>
      <sheetName val="I-Bio + ATEC, Hecker"/>
      <sheetName val="EDC"/>
      <sheetName val="Macomb"/>
      <sheetName val="Dalgleish"/>
      <sheetName val="Park Str 6"/>
      <sheetName val="Park Str 8"/>
      <sheetName val="Med Commons"/>
      <sheetName val="McGregor"/>
      <sheetName val="Water Rates Compared"/>
      <sheetName val="Steam Rates"/>
      <sheetName val="Nat Gas Rates"/>
      <sheetName val="Elec Rates"/>
      <sheetName val="Water Rates"/>
      <sheetName val="Degree Days"/>
      <sheetName val="FY16 DTE Rates"/>
      <sheetName val="Weather Impact"/>
      <sheetName val="PLD Summary"/>
      <sheetName val="DTE - PLD Comparison"/>
      <sheetName val="ECMs"/>
      <sheetName val="Cash Flow Analysis"/>
      <sheetName val="Labor &amp; Mat."/>
      <sheetName val="FY13-14 GF Comparison"/>
    </sheetNames>
    <sheetDataSet>
      <sheetData sheetId="0"/>
      <sheetData sheetId="1">
        <row r="8">
          <cell r="G8">
            <v>6716624</v>
          </cell>
        </row>
      </sheetData>
      <sheetData sheetId="2"/>
      <sheetData sheetId="3">
        <row r="38">
          <cell r="F38">
            <v>189500.58</v>
          </cell>
        </row>
      </sheetData>
      <sheetData sheetId="4">
        <row r="15">
          <cell r="O15">
            <v>729651.0318</v>
          </cell>
        </row>
        <row r="28">
          <cell r="O28">
            <v>40000</v>
          </cell>
        </row>
      </sheetData>
      <sheetData sheetId="5">
        <row r="19">
          <cell r="F19">
            <v>0</v>
          </cell>
        </row>
        <row r="35">
          <cell r="F35">
            <v>0</v>
          </cell>
          <cell r="H35">
            <v>0</v>
          </cell>
          <cell r="J35">
            <v>0</v>
          </cell>
          <cell r="N35">
            <v>0</v>
          </cell>
        </row>
        <row r="38">
          <cell r="I38">
            <v>0</v>
          </cell>
          <cell r="K38">
            <v>0</v>
          </cell>
          <cell r="L38">
            <v>0</v>
          </cell>
          <cell r="M38">
            <v>0</v>
          </cell>
          <cell r="O38">
            <v>0</v>
          </cell>
        </row>
      </sheetData>
      <sheetData sheetId="6"/>
      <sheetData sheetId="7"/>
      <sheetData sheetId="8"/>
      <sheetData sheetId="9"/>
      <sheetData sheetId="10"/>
      <sheetData sheetId="11">
        <row r="28">
          <cell r="D28">
            <v>131926185.65284865</v>
          </cell>
          <cell r="F28">
            <v>11353053.37801452</v>
          </cell>
          <cell r="H28">
            <v>157337.1221050903</v>
          </cell>
          <cell r="J28">
            <v>2035860.6717140691</v>
          </cell>
          <cell r="L28">
            <v>579997.72582590277</v>
          </cell>
          <cell r="N28">
            <v>2787163.443707909</v>
          </cell>
          <cell r="P28">
            <v>336370.84873546602</v>
          </cell>
          <cell r="U28">
            <v>4626510.57758631</v>
          </cell>
        </row>
      </sheetData>
      <sheetData sheetId="12">
        <row r="123">
          <cell r="D123">
            <v>7072652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99">
          <cell r="W299">
            <v>368639.63917061611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topLeftCell="B19" workbookViewId="0">
      <selection activeCell="G42" sqref="G42"/>
    </sheetView>
  </sheetViews>
  <sheetFormatPr defaultRowHeight="14.4" x14ac:dyDescent="0.3"/>
  <cols>
    <col min="1" max="1" width="28.88671875" customWidth="1"/>
    <col min="2" max="5" width="13.5546875" customWidth="1"/>
    <col min="6" max="6" width="3.5546875" customWidth="1"/>
    <col min="7" max="7" width="13.6640625" customWidth="1"/>
    <col min="8" max="8" width="13.5546875" customWidth="1"/>
    <col min="9" max="9" width="13.77734375" customWidth="1"/>
    <col min="10" max="10" width="13.5546875" customWidth="1"/>
    <col min="11" max="11" width="4" customWidth="1"/>
    <col min="12" max="12" width="12.5546875" customWidth="1"/>
    <col min="13" max="13" width="4.5546875" customWidth="1"/>
    <col min="14" max="14" width="10.33203125" customWidth="1"/>
    <col min="15" max="15" width="5.109375" customWidth="1"/>
    <col min="16" max="16" width="12.5546875" customWidth="1"/>
    <col min="17" max="17" width="4.6640625" customWidth="1"/>
    <col min="18" max="18" width="14.88671875" customWidth="1"/>
  </cols>
  <sheetData>
    <row r="1" spans="1:18" ht="20.399999999999999" x14ac:dyDescent="0.35">
      <c r="E1" s="1" t="s">
        <v>0</v>
      </c>
      <c r="F1" s="1"/>
      <c r="H1" s="1"/>
      <c r="I1" s="1"/>
      <c r="K1" s="2"/>
    </row>
    <row r="2" spans="1:18" ht="15.6" x14ac:dyDescent="0.3">
      <c r="C2" s="3" t="s">
        <v>1</v>
      </c>
      <c r="J2" s="2"/>
      <c r="K2" s="2"/>
    </row>
    <row r="3" spans="1:18" ht="15.6" x14ac:dyDescent="0.3">
      <c r="C3" s="3"/>
      <c r="E3" s="3" t="s">
        <v>2</v>
      </c>
      <c r="F3" s="3"/>
      <c r="G3" s="3"/>
      <c r="J3" s="2"/>
      <c r="K3" s="2"/>
    </row>
    <row r="4" spans="1:18" ht="19.2" x14ac:dyDescent="0.6">
      <c r="C4" s="3" t="s">
        <v>3</v>
      </c>
      <c r="J4" s="2"/>
      <c r="K4" s="2"/>
    </row>
    <row r="5" spans="1:18" x14ac:dyDescent="0.3">
      <c r="J5" s="2"/>
      <c r="K5" s="2"/>
    </row>
    <row r="6" spans="1:18" x14ac:dyDescent="0.3">
      <c r="B6" s="4"/>
      <c r="C6" s="4"/>
      <c r="D6" s="4"/>
      <c r="E6" s="4"/>
      <c r="F6" s="4"/>
      <c r="G6" s="4"/>
      <c r="H6" s="4"/>
      <c r="I6" s="4"/>
      <c r="J6" s="2"/>
      <c r="K6" s="2"/>
    </row>
    <row r="7" spans="1:18" ht="17.399999999999999" x14ac:dyDescent="0.3">
      <c r="A7" s="5" t="s">
        <v>4</v>
      </c>
      <c r="B7" s="4"/>
      <c r="C7" s="4"/>
      <c r="D7" s="4"/>
      <c r="E7" s="4"/>
      <c r="F7" s="4"/>
      <c r="G7" s="4"/>
      <c r="H7" s="4"/>
      <c r="I7" s="4"/>
      <c r="J7" s="2"/>
      <c r="K7" s="2"/>
      <c r="N7" s="6" t="s">
        <v>5</v>
      </c>
      <c r="O7" s="7"/>
      <c r="P7" s="7"/>
      <c r="Q7" s="7"/>
      <c r="R7" s="8"/>
    </row>
    <row r="8" spans="1:18" ht="15" thickBot="1" x14ac:dyDescent="0.35">
      <c r="E8" t="s">
        <v>6</v>
      </c>
      <c r="G8" s="9" t="s">
        <v>6</v>
      </c>
      <c r="J8" t="s">
        <v>6</v>
      </c>
      <c r="K8" s="10"/>
      <c r="L8" s="11"/>
      <c r="M8" s="12"/>
      <c r="N8" s="12" t="s">
        <v>7</v>
      </c>
      <c r="O8" s="12"/>
      <c r="P8" s="12"/>
      <c r="Q8" s="12"/>
      <c r="R8" s="13"/>
    </row>
    <row r="9" spans="1:18" x14ac:dyDescent="0.3">
      <c r="A9" s="14"/>
      <c r="B9" s="15"/>
      <c r="C9" s="15"/>
      <c r="D9" s="15"/>
      <c r="E9" s="15"/>
      <c r="F9" s="15"/>
      <c r="G9" s="16" t="s">
        <v>8</v>
      </c>
      <c r="H9" s="16" t="s">
        <v>9</v>
      </c>
      <c r="I9" s="16" t="s">
        <v>10</v>
      </c>
      <c r="J9" s="16" t="s">
        <v>11</v>
      </c>
      <c r="K9" s="17"/>
      <c r="L9" s="18" t="s">
        <v>12</v>
      </c>
      <c r="M9" s="18"/>
      <c r="N9" s="18" t="s">
        <v>12</v>
      </c>
      <c r="O9" s="18"/>
      <c r="P9" s="18" t="s">
        <v>13</v>
      </c>
      <c r="Q9" s="18"/>
      <c r="R9" s="19" t="s">
        <v>14</v>
      </c>
    </row>
    <row r="10" spans="1:18" x14ac:dyDescent="0.3">
      <c r="A10" s="20"/>
      <c r="B10" s="21"/>
      <c r="C10" s="21"/>
      <c r="D10" s="21"/>
      <c r="E10" s="21"/>
      <c r="F10" s="21"/>
      <c r="G10" s="22" t="s">
        <v>15</v>
      </c>
      <c r="H10" s="22" t="s">
        <v>8</v>
      </c>
      <c r="I10" s="22" t="s">
        <v>16</v>
      </c>
      <c r="J10" s="22" t="s">
        <v>8</v>
      </c>
      <c r="K10" s="23"/>
      <c r="L10" s="18" t="s">
        <v>17</v>
      </c>
      <c r="M10" s="18"/>
      <c r="N10" s="18" t="s">
        <v>18</v>
      </c>
      <c r="O10" s="18"/>
      <c r="P10" s="18" t="s">
        <v>19</v>
      </c>
      <c r="Q10" s="18"/>
      <c r="R10" s="19" t="s">
        <v>20</v>
      </c>
    </row>
    <row r="11" spans="1:18" ht="15" thickBot="1" x14ac:dyDescent="0.35">
      <c r="A11" s="24"/>
      <c r="B11" s="25">
        <v>2012</v>
      </c>
      <c r="C11" s="25">
        <v>2013</v>
      </c>
      <c r="D11" s="25">
        <v>2014</v>
      </c>
      <c r="E11" s="25">
        <v>2015</v>
      </c>
      <c r="F11" s="25"/>
      <c r="G11" s="26" t="s">
        <v>21</v>
      </c>
      <c r="H11" s="27" t="s">
        <v>6</v>
      </c>
      <c r="I11" s="27"/>
      <c r="J11" s="27" t="s">
        <v>6</v>
      </c>
      <c r="K11" s="28"/>
      <c r="L11" s="29"/>
      <c r="M11" s="29"/>
      <c r="N11" s="29"/>
      <c r="O11" s="29"/>
      <c r="P11" s="30" t="s">
        <v>22</v>
      </c>
      <c r="Q11" s="29"/>
      <c r="R11" s="31" t="s">
        <v>22</v>
      </c>
    </row>
    <row r="12" spans="1:18" x14ac:dyDescent="0.3">
      <c r="A12" t="s">
        <v>23</v>
      </c>
      <c r="B12" s="32">
        <v>6715424</v>
      </c>
      <c r="C12" s="32">
        <v>6715424</v>
      </c>
      <c r="D12" s="32">
        <v>6715424</v>
      </c>
      <c r="E12" s="32">
        <v>6716624</v>
      </c>
      <c r="F12" s="32"/>
      <c r="G12" s="33">
        <f>[1]Budget!G8</f>
        <v>6716624</v>
      </c>
      <c r="H12" s="34">
        <v>6716624</v>
      </c>
      <c r="I12" s="34"/>
      <c r="J12" s="35"/>
      <c r="K12" s="36"/>
      <c r="L12" s="37">
        <f>'[1]Bldg Change'!$F$35</f>
        <v>0</v>
      </c>
      <c r="M12" s="37"/>
      <c r="N12" s="38">
        <f>-('[1]Bldg Change'!$F$19)</f>
        <v>0</v>
      </c>
      <c r="O12" s="38"/>
      <c r="P12" s="38">
        <f>R12-L12+N12</f>
        <v>7072652</v>
      </c>
      <c r="Q12" s="38"/>
      <c r="R12" s="34">
        <f>'[1]Area Summary'!$D$123</f>
        <v>7072652</v>
      </c>
    </row>
    <row r="13" spans="1:18" x14ac:dyDescent="0.3">
      <c r="A13" s="39" t="s">
        <v>24</v>
      </c>
      <c r="G13" s="40" t="s">
        <v>6</v>
      </c>
      <c r="H13" s="4"/>
      <c r="I13" s="4"/>
      <c r="J13" s="41"/>
      <c r="K13" s="2"/>
      <c r="L13" s="42"/>
      <c r="M13" s="42"/>
      <c r="N13" s="42"/>
      <c r="O13" s="42"/>
      <c r="P13" s="42"/>
      <c r="Q13" s="42"/>
      <c r="R13" s="42"/>
    </row>
    <row r="14" spans="1:18" x14ac:dyDescent="0.3">
      <c r="A14" t="s">
        <v>25</v>
      </c>
      <c r="B14" s="43">
        <v>630782</v>
      </c>
      <c r="C14" s="43">
        <v>548430</v>
      </c>
      <c r="D14" s="43">
        <v>577142</v>
      </c>
      <c r="E14" s="43">
        <v>559979</v>
      </c>
      <c r="F14" s="43"/>
      <c r="G14" s="40">
        <v>554076.84569987725</v>
      </c>
      <c r="H14" s="44">
        <f>I14+J14</f>
        <v>511400</v>
      </c>
      <c r="I14" s="45">
        <v>60825</v>
      </c>
      <c r="J14" s="46">
        <v>450575</v>
      </c>
      <c r="K14" s="36"/>
      <c r="L14" s="43">
        <f>'[1]Bldg Change'!$J$35</f>
        <v>0</v>
      </c>
      <c r="M14" s="43"/>
      <c r="N14" s="43">
        <v>0</v>
      </c>
      <c r="O14" s="43"/>
      <c r="P14" s="43">
        <f>R14-L14+N14</f>
        <v>579997.72582590277</v>
      </c>
      <c r="Q14" s="43"/>
      <c r="R14" s="34">
        <f>'[1]Summary (G.F)'!$L$28</f>
        <v>579997.72582590277</v>
      </c>
    </row>
    <row r="15" spans="1:18" x14ac:dyDescent="0.3">
      <c r="A15" t="s">
        <v>26</v>
      </c>
      <c r="B15" s="43">
        <v>270359</v>
      </c>
      <c r="C15" s="43">
        <v>303648</v>
      </c>
      <c r="D15" s="43">
        <v>347724</v>
      </c>
      <c r="E15" s="43">
        <v>325000</v>
      </c>
      <c r="F15" s="43"/>
      <c r="G15" s="47">
        <v>329543.33244306367</v>
      </c>
      <c r="H15" s="48">
        <f t="shared" ref="H15:H17" si="0">I15+J15</f>
        <v>263108</v>
      </c>
      <c r="I15" s="49">
        <v>67545</v>
      </c>
      <c r="J15" s="46">
        <v>195563</v>
      </c>
      <c r="K15" s="36"/>
      <c r="L15" s="43">
        <f>'[1]Bldg Change'!$N$35</f>
        <v>0</v>
      </c>
      <c r="M15" s="43"/>
      <c r="N15" s="43">
        <v>0</v>
      </c>
      <c r="O15" s="43"/>
      <c r="P15" s="43">
        <f>R15-L15+N15</f>
        <v>336370.84873546602</v>
      </c>
      <c r="Q15" s="43"/>
      <c r="R15" s="34">
        <f>'[1]Summary (G.F)'!$P$28</f>
        <v>336370.84873546602</v>
      </c>
    </row>
    <row r="16" spans="1:18" x14ac:dyDescent="0.3">
      <c r="A16" t="s">
        <v>27</v>
      </c>
      <c r="B16" s="43">
        <v>129919293</v>
      </c>
      <c r="C16" s="43">
        <v>125149152</v>
      </c>
      <c r="D16" s="43">
        <v>124062339</v>
      </c>
      <c r="E16" s="43">
        <v>122134499</v>
      </c>
      <c r="F16" s="43"/>
      <c r="G16" s="47">
        <v>131693615.41041532</v>
      </c>
      <c r="H16" s="48">
        <f t="shared" si="0"/>
        <v>130157174</v>
      </c>
      <c r="I16" s="49">
        <v>24695574</v>
      </c>
      <c r="J16" s="46">
        <v>105461600</v>
      </c>
      <c r="K16" s="36"/>
      <c r="L16" s="43">
        <f>'[1]Bldg Change'!$H$35</f>
        <v>0</v>
      </c>
      <c r="M16" s="43"/>
      <c r="N16" s="43">
        <v>0</v>
      </c>
      <c r="O16" s="43"/>
      <c r="P16" s="43">
        <f>R16-L16+N16</f>
        <v>131926185.65284865</v>
      </c>
      <c r="Q16" s="43"/>
      <c r="R16" s="34">
        <f>'[1]Summary (G.F)'!$D$28</f>
        <v>131926185.65284865</v>
      </c>
    </row>
    <row r="17" spans="1:18" x14ac:dyDescent="0.3">
      <c r="A17" t="s">
        <v>28</v>
      </c>
      <c r="B17" s="43">
        <v>20208</v>
      </c>
      <c r="C17" s="43">
        <v>127871</v>
      </c>
      <c r="D17" s="43">
        <v>172078</v>
      </c>
      <c r="E17" s="43">
        <v>152106</v>
      </c>
      <c r="F17" s="43"/>
      <c r="G17" s="47">
        <v>125059.21848630955</v>
      </c>
      <c r="H17" s="48">
        <f t="shared" si="0"/>
        <v>142292</v>
      </c>
      <c r="I17" s="49">
        <v>10725</v>
      </c>
      <c r="J17" s="46">
        <v>131567</v>
      </c>
      <c r="K17" s="36"/>
      <c r="L17" s="43">
        <f>'[1]Bldg Change'!L38</f>
        <v>0</v>
      </c>
      <c r="M17" s="43"/>
      <c r="N17" s="43">
        <v>0</v>
      </c>
      <c r="O17" s="43"/>
      <c r="P17" s="43">
        <f>R17-L17+N17</f>
        <v>157337.1221050903</v>
      </c>
      <c r="Q17" s="43"/>
      <c r="R17" s="34">
        <f>'[1]Summary (G.F)'!$H$28</f>
        <v>157337.1221050903</v>
      </c>
    </row>
    <row r="18" spans="1:18" x14ac:dyDescent="0.3">
      <c r="B18" s="4"/>
      <c r="C18" s="4"/>
      <c r="D18" s="4"/>
      <c r="F18" s="4"/>
      <c r="G18" s="50"/>
      <c r="H18" s="50"/>
      <c r="I18" s="50"/>
      <c r="J18" s="41"/>
      <c r="K18" s="2"/>
    </row>
    <row r="19" spans="1:18" x14ac:dyDescent="0.3">
      <c r="A19" s="39" t="s">
        <v>29</v>
      </c>
      <c r="B19" s="32"/>
      <c r="C19" s="32"/>
      <c r="D19" s="32"/>
      <c r="F19" s="32"/>
      <c r="G19" s="4"/>
      <c r="H19" s="4"/>
      <c r="I19" s="4"/>
      <c r="J19" s="51"/>
      <c r="K19" s="2"/>
    </row>
    <row r="20" spans="1:18" x14ac:dyDescent="0.3">
      <c r="A20" s="52" t="s">
        <v>30</v>
      </c>
      <c r="B20" s="53">
        <f>B26/B14</f>
        <v>7.4120640094359063</v>
      </c>
      <c r="C20" s="53">
        <f>C26/C14</f>
        <v>7.9449648451032937</v>
      </c>
      <c r="D20" s="53">
        <f>D26/D14</f>
        <v>7.2566997723263942</v>
      </c>
      <c r="E20" s="54">
        <v>5.4071999999999996</v>
      </c>
      <c r="F20" s="32"/>
      <c r="G20" s="53">
        <f t="shared" ref="G20:J22" si="1">G26/G14</f>
        <v>5.4263808771907796</v>
      </c>
      <c r="H20" s="53">
        <f t="shared" si="1"/>
        <v>4.1076748533437621</v>
      </c>
      <c r="I20" s="53">
        <f t="shared" si="1"/>
        <v>4.1719358816276202</v>
      </c>
      <c r="J20" s="53">
        <f t="shared" si="1"/>
        <v>4.0989999889030679</v>
      </c>
      <c r="K20" s="55"/>
      <c r="L20" s="53"/>
      <c r="M20" s="53"/>
      <c r="N20" s="56"/>
      <c r="O20" s="56"/>
      <c r="P20" s="53">
        <f t="shared" ref="P20:R22" si="2">P26/P14</f>
        <v>4.8054730555004426</v>
      </c>
      <c r="Q20" s="56"/>
      <c r="R20" s="57">
        <f t="shared" si="2"/>
        <v>4.8054730555004426</v>
      </c>
    </row>
    <row r="21" spans="1:18" x14ac:dyDescent="0.3">
      <c r="A21" s="52" t="s">
        <v>31</v>
      </c>
      <c r="B21" s="53">
        <v>10.005000000000001</v>
      </c>
      <c r="C21" s="53">
        <f t="shared" ref="C21:D23" si="3">C27/C15</f>
        <v>9.8980119743913999</v>
      </c>
      <c r="D21" s="53">
        <f t="shared" si="3"/>
        <v>9.8099490688016928</v>
      </c>
      <c r="E21" s="54">
        <f>E27/E15</f>
        <v>11.48398316923077</v>
      </c>
      <c r="F21" s="32" t="s">
        <v>6</v>
      </c>
      <c r="G21" s="53">
        <f t="shared" si="1"/>
        <v>12.738704099635502</v>
      </c>
      <c r="H21" s="53">
        <f t="shared" si="1"/>
        <v>15.120391626252337</v>
      </c>
      <c r="I21" s="53">
        <f t="shared" si="1"/>
        <v>13.632733733066845</v>
      </c>
      <c r="J21" s="53">
        <f t="shared" si="1"/>
        <v>15.634209947689492</v>
      </c>
      <c r="K21" s="55"/>
      <c r="L21" s="53"/>
      <c r="M21" s="53"/>
      <c r="N21" s="58"/>
      <c r="O21" s="58"/>
      <c r="P21" s="53">
        <f t="shared" si="2"/>
        <v>13.7541959863019</v>
      </c>
      <c r="Q21" s="58"/>
      <c r="R21" s="53">
        <f>R27/R15</f>
        <v>13.7541959863019</v>
      </c>
    </row>
    <row r="22" spans="1:18" x14ac:dyDescent="0.3">
      <c r="A22" s="52" t="s">
        <v>32</v>
      </c>
      <c r="B22" s="53">
        <v>7.6999999999999999E-2</v>
      </c>
      <c r="C22" s="53">
        <f t="shared" si="3"/>
        <v>8.3947024587110258E-2</v>
      </c>
      <c r="D22" s="53">
        <f t="shared" si="3"/>
        <v>8.8214152886477507E-2</v>
      </c>
      <c r="E22" s="54">
        <v>7.9500000000000001E-2</v>
      </c>
      <c r="F22" s="53"/>
      <c r="G22" s="53">
        <f t="shared" si="1"/>
        <v>9.6896846215604682E-2</v>
      </c>
      <c r="H22" s="53">
        <f t="shared" si="1"/>
        <v>8.0419328403672927E-2</v>
      </c>
      <c r="I22" s="53">
        <f t="shared" si="1"/>
        <v>8.0000003239446879E-2</v>
      </c>
      <c r="J22" s="53">
        <f t="shared" si="1"/>
        <v>8.0517520310710244E-2</v>
      </c>
      <c r="K22" s="59"/>
      <c r="L22" s="53"/>
      <c r="M22" s="53"/>
      <c r="N22" s="53"/>
      <c r="O22" s="53"/>
      <c r="P22" s="53">
        <f t="shared" si="2"/>
        <v>8.6056102674635135E-2</v>
      </c>
      <c r="Q22" s="53"/>
      <c r="R22" s="53">
        <f t="shared" si="2"/>
        <v>8.6056102674635135E-2</v>
      </c>
    </row>
    <row r="23" spans="1:18" x14ac:dyDescent="0.3">
      <c r="A23" s="52" t="s">
        <v>33</v>
      </c>
      <c r="B23" s="53">
        <v>13.1388</v>
      </c>
      <c r="C23" s="53">
        <f t="shared" si="3"/>
        <v>12.4401417835162</v>
      </c>
      <c r="D23" s="53">
        <f t="shared" si="3"/>
        <v>12.920801671335091</v>
      </c>
      <c r="E23" s="54">
        <v>13.787000000000001</v>
      </c>
      <c r="F23" s="32"/>
      <c r="G23" s="53">
        <f>G29/G17</f>
        <v>16.510450209042652</v>
      </c>
      <c r="H23" s="53">
        <f>H29/H17</f>
        <v>13.892031878109803</v>
      </c>
      <c r="I23" s="60">
        <f>I29/I17</f>
        <v>14.896223776223776</v>
      </c>
      <c r="J23" s="53">
        <v>13.347</v>
      </c>
      <c r="K23" s="61"/>
      <c r="L23" s="53" t="s">
        <v>6</v>
      </c>
      <c r="M23" s="53"/>
      <c r="N23" s="56"/>
      <c r="O23" s="56"/>
      <c r="P23" s="53">
        <f>P29/P17</f>
        <v>12.939480807042187</v>
      </c>
      <c r="Q23" s="56"/>
      <c r="R23" s="60">
        <f>R29/R17</f>
        <v>12.939480807042187</v>
      </c>
    </row>
    <row r="24" spans="1:18" x14ac:dyDescent="0.3">
      <c r="B24" s="4"/>
      <c r="C24" s="4"/>
      <c r="D24" s="4"/>
      <c r="F24" s="32"/>
      <c r="G24" s="4"/>
      <c r="H24" s="4"/>
      <c r="I24" s="4"/>
      <c r="J24" s="2"/>
      <c r="K24" s="2"/>
    </row>
    <row r="25" spans="1:18" x14ac:dyDescent="0.3">
      <c r="A25" s="39" t="s">
        <v>34</v>
      </c>
      <c r="B25" s="4"/>
      <c r="C25" s="53"/>
      <c r="D25" s="4"/>
      <c r="F25" s="32"/>
      <c r="G25" s="4"/>
      <c r="H25" s="4"/>
      <c r="I25" s="4"/>
      <c r="J25" s="62"/>
      <c r="K25" s="2"/>
      <c r="L25" s="63"/>
      <c r="M25" s="63"/>
      <c r="N25" s="63"/>
      <c r="O25" s="63"/>
      <c r="P25" s="63"/>
      <c r="Q25" s="63"/>
    </row>
    <row r="26" spans="1:18" x14ac:dyDescent="0.3">
      <c r="A26" s="64" t="s">
        <v>30</v>
      </c>
      <c r="B26" s="65">
        <f>4551820.75+21848.59+101727.22</f>
        <v>4675396.5599999996</v>
      </c>
      <c r="C26" s="65">
        <f>3971180.05+24433.86+118239.57+54302.32+5963.99+172648.85+10488.43</f>
        <v>4357257.0699999994</v>
      </c>
      <c r="D26" s="65">
        <f>35306.91+3791522.13+114223.29+58167.11+188926.78</f>
        <v>4188146.2199999997</v>
      </c>
      <c r="E26" s="64">
        <f>53481+2684372+46858.76+415.63+78874.85+3119.2+38183.94+2915.77+120622.01+6342.76</f>
        <v>3035185.9199999995</v>
      </c>
      <c r="F26" s="32"/>
      <c r="G26" s="65">
        <f>55000+2474725+236254+40496+75661+124496</f>
        <v>3006632</v>
      </c>
      <c r="H26" s="65">
        <f>SUM(I26:J26)</f>
        <v>2100664.92</v>
      </c>
      <c r="I26" s="66">
        <v>253758</v>
      </c>
      <c r="J26" s="65">
        <v>1846906.92</v>
      </c>
      <c r="K26" s="67" t="s">
        <v>35</v>
      </c>
      <c r="L26" s="64">
        <f>'[1]Bldg Change'!K38</f>
        <v>0</v>
      </c>
      <c r="M26" s="64"/>
      <c r="N26" s="64">
        <v>0</v>
      </c>
      <c r="O26" s="64"/>
      <c r="P26" s="64">
        <f>R26-L26+N26</f>
        <v>2787163.443707909</v>
      </c>
      <c r="Q26" s="64"/>
      <c r="R26" s="64">
        <f>'[1]Summary (G.F)'!$N$28</f>
        <v>2787163.443707909</v>
      </c>
    </row>
    <row r="27" spans="1:18" x14ac:dyDescent="0.3">
      <c r="A27" s="64" t="s">
        <v>36</v>
      </c>
      <c r="B27" s="65">
        <f>3428140.51+19102.48+32434.89+4535.98</f>
        <v>3484213.86</v>
      </c>
      <c r="C27" s="65">
        <f>2014737.83+27712.31+119517.28+23884.04+31302.78+4059.22+784298.08</f>
        <v>3005511.54</v>
      </c>
      <c r="D27" s="65">
        <f>3196239.61+1766.77+21573.02+44.23+37370.01+24345.93+129815.16</f>
        <v>3411154.73</v>
      </c>
      <c r="E27" s="64">
        <f>3519657+14460+356.06+28678.41+555.72+32454.34+6446.17+17839.79+3551.97+92501.13+15793.94</f>
        <v>3732294.5300000003</v>
      </c>
      <c r="F27" s="32" t="s">
        <v>6</v>
      </c>
      <c r="G27" s="65">
        <f>3789505+133659+26920+26089+58214+163568</f>
        <v>4197955</v>
      </c>
      <c r="H27" s="65">
        <f>SUM(I27:J27)</f>
        <v>3978296</v>
      </c>
      <c r="I27" s="68">
        <v>920823</v>
      </c>
      <c r="J27" s="65">
        <v>3057473</v>
      </c>
      <c r="K27" s="67" t="s">
        <v>37</v>
      </c>
      <c r="L27" s="64">
        <f>'[1]Bldg Change'!O38</f>
        <v>0</v>
      </c>
      <c r="M27" s="64"/>
      <c r="N27" s="64">
        <v>0</v>
      </c>
      <c r="O27" s="64"/>
      <c r="P27" s="64">
        <f>R27-L27+N27</f>
        <v>4626510.57758631</v>
      </c>
      <c r="Q27" s="64"/>
      <c r="R27" s="64">
        <f>'[1]Summary (G.F)'!$U$28</f>
        <v>4626510.57758631</v>
      </c>
    </row>
    <row r="28" spans="1:18" x14ac:dyDescent="0.3">
      <c r="A28" s="64" t="s">
        <v>38</v>
      </c>
      <c r="B28" s="69">
        <f>5315437.9-418328.14+5016638.12+187405.13</f>
        <v>10101153.010000002</v>
      </c>
      <c r="C28" s="65">
        <f>4790472.83+16613.35+0.02+4809663.94+100448.87+454447.89+94745.3+23612.61-508.3+216402.43</f>
        <v>10505898.939999999</v>
      </c>
      <c r="D28" s="65">
        <f>4737207.08+37270.85+5219031.03+236701.36+126279.01+587564.81</f>
        <v>10944054.140000001</v>
      </c>
      <c r="E28" s="64">
        <f>4279039+4420269+147+70384.9+42782.98+210090.02+20707.18+100962.52+10044.29+470297.01+41862.71</f>
        <v>9666586.6099999994</v>
      </c>
      <c r="F28" s="65"/>
      <c r="G28" s="65">
        <f>5382593+5612869+705361+143481+278128+605185+33079</f>
        <v>12760696</v>
      </c>
      <c r="H28" s="65">
        <f>SUM(I28:J28)</f>
        <v>10467152.52</v>
      </c>
      <c r="I28" s="68">
        <v>1975646</v>
      </c>
      <c r="J28" s="65">
        <v>8491506.5199999996</v>
      </c>
      <c r="K28" s="67" t="s">
        <v>39</v>
      </c>
      <c r="L28" s="64">
        <f>'[1]Bldg Change'!I38</f>
        <v>0</v>
      </c>
      <c r="M28" s="64"/>
      <c r="N28" s="64">
        <v>0</v>
      </c>
      <c r="O28" s="64"/>
      <c r="P28" s="64">
        <f>R28-L28+N28</f>
        <v>11353053.37801452</v>
      </c>
      <c r="Q28" s="64"/>
      <c r="R28" s="64">
        <f>'[1]Summary (G.F)'!$F$28</f>
        <v>11353053.37801452</v>
      </c>
    </row>
    <row r="29" spans="1:18" x14ac:dyDescent="0.3">
      <c r="A29" s="70" t="s">
        <v>40</v>
      </c>
      <c r="B29" s="71">
        <f>118282.11</f>
        <v>118282.11</v>
      </c>
      <c r="C29" s="71">
        <v>1590733.37</v>
      </c>
      <c r="D29" s="71">
        <v>2223385.71</v>
      </c>
      <c r="E29" s="70">
        <v>2103664</v>
      </c>
      <c r="F29" s="71"/>
      <c r="G29" s="71">
        <v>2064784</v>
      </c>
      <c r="H29" s="71">
        <f>SUM(I29:J29)</f>
        <v>1976725</v>
      </c>
      <c r="I29" s="72">
        <v>159762</v>
      </c>
      <c r="J29" s="71">
        <v>1816963</v>
      </c>
      <c r="K29" s="73" t="s">
        <v>41</v>
      </c>
      <c r="L29" s="70">
        <f>'[1]Bldg Change'!M38</f>
        <v>0</v>
      </c>
      <c r="M29" s="70"/>
      <c r="N29" s="70">
        <v>0</v>
      </c>
      <c r="O29" s="70"/>
      <c r="P29" s="70">
        <f>R29-L29+N29</f>
        <v>2035860.6717140691</v>
      </c>
      <c r="Q29" s="70"/>
      <c r="R29" s="70">
        <f>'[1]Summary (G.F)'!$J$28</f>
        <v>2035860.6717140691</v>
      </c>
    </row>
    <row r="30" spans="1:18" x14ac:dyDescent="0.3">
      <c r="A30" s="74" t="s">
        <v>42</v>
      </c>
      <c r="B30" s="75">
        <f>SUM(B26:B29)</f>
        <v>18379045.539999999</v>
      </c>
      <c r="C30" s="75">
        <f>SUM(C26:C29)</f>
        <v>19459400.919999998</v>
      </c>
      <c r="D30" s="75">
        <f>SUM(D26:D29)</f>
        <v>20766740.800000001</v>
      </c>
      <c r="E30" s="75">
        <f>SUM(E26:E29)</f>
        <v>18537731.059999999</v>
      </c>
      <c r="F30" s="75"/>
      <c r="G30" s="75">
        <f>SUM(G26:G29)</f>
        <v>22030067</v>
      </c>
      <c r="H30" s="75">
        <f>SUM(H26:H29)</f>
        <v>18522838.439999998</v>
      </c>
      <c r="I30" s="75">
        <f>SUM(I26:I29)</f>
        <v>3309989</v>
      </c>
      <c r="J30" s="75">
        <f>SUM(J26:J29)</f>
        <v>15212849.439999999</v>
      </c>
      <c r="K30" s="67"/>
      <c r="L30" s="64">
        <f>SUM(L26:L29)</f>
        <v>0</v>
      </c>
      <c r="M30" s="76" t="s">
        <v>6</v>
      </c>
      <c r="N30" s="64">
        <f>SUM(N26:N29)</f>
        <v>0</v>
      </c>
      <c r="O30" s="64"/>
      <c r="P30" s="64">
        <f>SUM(P26:P29)</f>
        <v>20802588.071022809</v>
      </c>
      <c r="Q30" s="64"/>
      <c r="R30" s="64">
        <f>SUM(R26:R29)</f>
        <v>20802588.071022809</v>
      </c>
    </row>
    <row r="31" spans="1:18" x14ac:dyDescent="0.3">
      <c r="A31" s="74" t="s">
        <v>43</v>
      </c>
      <c r="B31" s="75"/>
      <c r="C31" s="75"/>
      <c r="D31" s="75">
        <f>16869.94+549.9+720+756.24+11515.38</f>
        <v>30411.46</v>
      </c>
      <c r="E31" s="64"/>
      <c r="F31" s="75"/>
      <c r="G31" s="65"/>
      <c r="H31" s="65">
        <f>SUM(I31:J31)</f>
        <v>16801.330000000002</v>
      </c>
      <c r="I31" s="65"/>
      <c r="J31" s="67">
        <f>9491+3364+3946.33</f>
        <v>16801.330000000002</v>
      </c>
      <c r="K31" s="67" t="s">
        <v>44</v>
      </c>
      <c r="L31" s="65"/>
      <c r="M31" s="65"/>
      <c r="N31" s="64"/>
      <c r="O31" s="64"/>
      <c r="P31" s="64"/>
      <c r="Q31" s="64"/>
      <c r="R31" s="64">
        <f>'[1]Energy Management'!$O$28</f>
        <v>40000</v>
      </c>
    </row>
    <row r="32" spans="1:18" x14ac:dyDescent="0.3">
      <c r="A32" s="77" t="s">
        <v>45</v>
      </c>
      <c r="B32" s="71">
        <f>649945.8</f>
        <v>649945.80000000005</v>
      </c>
      <c r="C32" s="71">
        <v>691451.54</v>
      </c>
      <c r="D32" s="71">
        <f>676782.42+7950</f>
        <v>684732.42</v>
      </c>
      <c r="E32" s="70">
        <f>643209+14194</f>
        <v>657403</v>
      </c>
      <c r="F32" s="71"/>
      <c r="G32" s="71">
        <v>662198</v>
      </c>
      <c r="H32" s="71">
        <f>SUM(I32:J32)</f>
        <v>692812</v>
      </c>
      <c r="I32" s="71">
        <v>0</v>
      </c>
      <c r="J32" s="73">
        <v>692812</v>
      </c>
      <c r="K32" s="78" t="s">
        <v>6</v>
      </c>
      <c r="L32" s="70"/>
      <c r="M32" s="70"/>
      <c r="N32" s="70"/>
      <c r="O32" s="70"/>
      <c r="P32" s="70"/>
      <c r="Q32" s="70"/>
      <c r="R32" s="70">
        <f>'[1]Energy Management'!$O$15</f>
        <v>729651.0318</v>
      </c>
    </row>
    <row r="33" spans="1:18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</row>
    <row r="34" spans="1:18" x14ac:dyDescent="0.3">
      <c r="A34" t="s">
        <v>14</v>
      </c>
      <c r="B34" s="79">
        <f>SUM(B30:B32)</f>
        <v>19028991.34</v>
      </c>
      <c r="C34" s="79">
        <f>SUM(C30:C32)</f>
        <v>20150852.459999997</v>
      </c>
      <c r="D34" s="79">
        <f>SUM(D30:D32)</f>
        <v>21481884.680000003</v>
      </c>
      <c r="E34" s="79">
        <f>SUM(E30:E32)</f>
        <v>19195134.059999999</v>
      </c>
      <c r="F34" s="80"/>
      <c r="G34" s="80">
        <f>SUM(G30:G32)</f>
        <v>22692265</v>
      </c>
      <c r="H34" s="80">
        <f>SUM(H30:H32)</f>
        <v>19232451.769999996</v>
      </c>
      <c r="I34" s="80">
        <f>SUM(I30:I32)</f>
        <v>3309989</v>
      </c>
      <c r="J34" s="80">
        <f>SUM(J30:J32)</f>
        <v>15922462.77</v>
      </c>
      <c r="K34" s="81" t="s">
        <v>46</v>
      </c>
      <c r="L34" s="64"/>
      <c r="M34" s="64"/>
      <c r="N34" s="82"/>
      <c r="O34" s="82"/>
      <c r="P34" s="82"/>
      <c r="Q34" s="82"/>
      <c r="R34" s="64">
        <f>SUM(R30:R32)</f>
        <v>21572239.10282281</v>
      </c>
    </row>
    <row r="35" spans="1:18" x14ac:dyDescent="0.3">
      <c r="A35" s="83" t="s">
        <v>47</v>
      </c>
      <c r="B35" s="84">
        <v>418328.14</v>
      </c>
      <c r="C35" s="84">
        <v>597007</v>
      </c>
      <c r="D35" s="84">
        <v>501140.45</v>
      </c>
      <c r="E35" s="84">
        <v>579702.73</v>
      </c>
      <c r="F35" s="85"/>
      <c r="G35" s="85"/>
      <c r="H35" s="84">
        <f>SUM(I35:J35)</f>
        <v>500000</v>
      </c>
      <c r="I35" s="85">
        <v>500000</v>
      </c>
      <c r="J35" s="86" t="s">
        <v>6</v>
      </c>
      <c r="K35" s="87"/>
      <c r="L35" s="88" t="s">
        <v>6</v>
      </c>
      <c r="M35" s="88"/>
      <c r="N35" s="89"/>
      <c r="O35" s="89"/>
      <c r="P35" s="89"/>
      <c r="Q35" s="89"/>
      <c r="R35" s="85">
        <f>'[1]Non Gen Fund '!W299</f>
        <v>368639.63917061611</v>
      </c>
    </row>
    <row r="36" spans="1:18" x14ac:dyDescent="0.3">
      <c r="B36" s="79">
        <f>SUM(B34:B35)</f>
        <v>19447319.48</v>
      </c>
      <c r="C36" s="79">
        <f>SUM(C34:C35)</f>
        <v>20747859.459999997</v>
      </c>
      <c r="D36" s="79">
        <f>SUM(D34:D35)</f>
        <v>21983025.130000003</v>
      </c>
      <c r="E36" s="79">
        <f>SUM(E34:E35)</f>
        <v>19774836.789999999</v>
      </c>
      <c r="F36" s="80"/>
      <c r="G36" s="80">
        <f>SUM(G33:G35)</f>
        <v>22692265</v>
      </c>
      <c r="H36" s="80">
        <f>SUM(H34:H35)</f>
        <v>19732451.769999996</v>
      </c>
      <c r="I36" s="80">
        <f>SUM(I34:I35)</f>
        <v>3809989</v>
      </c>
      <c r="J36" s="90">
        <f>SUM(J34:J35)</f>
        <v>15922462.77</v>
      </c>
      <c r="K36" s="91"/>
      <c r="L36" s="92"/>
      <c r="M36" s="92"/>
      <c r="N36" s="93"/>
      <c r="O36" s="93"/>
      <c r="P36" s="93"/>
      <c r="Q36" s="93"/>
      <c r="R36" s="80">
        <f>SUM(R34:R35)</f>
        <v>21940878.741993427</v>
      </c>
    </row>
    <row r="37" spans="1:18" x14ac:dyDescent="0.3">
      <c r="A37" s="70" t="s">
        <v>48</v>
      </c>
      <c r="B37" s="71">
        <v>877698.18</v>
      </c>
      <c r="C37" s="71">
        <f>-951204.96+784298.08</f>
        <v>-166906.88</v>
      </c>
      <c r="D37" s="71"/>
      <c r="E37" s="94">
        <f>[1]Accruals!F38</f>
        <v>189500.58</v>
      </c>
      <c r="F37" s="71"/>
      <c r="G37" s="71"/>
      <c r="H37" s="71"/>
      <c r="I37" s="71"/>
      <c r="J37" s="71">
        <v>0</v>
      </c>
      <c r="K37" s="73"/>
      <c r="L37" s="70"/>
      <c r="M37" s="70"/>
      <c r="N37" s="70"/>
      <c r="O37" s="70"/>
      <c r="P37" s="70"/>
      <c r="Q37" s="70"/>
      <c r="R37" s="70">
        <v>0</v>
      </c>
    </row>
    <row r="38" spans="1:18" x14ac:dyDescent="0.3">
      <c r="A38" s="10" t="s">
        <v>14</v>
      </c>
      <c r="B38" s="42">
        <f>SUM(B36:B37)</f>
        <v>20325017.66</v>
      </c>
      <c r="C38" s="42">
        <f>SUM(C36:C37)</f>
        <v>20580952.579999998</v>
      </c>
      <c r="D38" s="42">
        <f>SUM(D36:D37)</f>
        <v>21983025.130000003</v>
      </c>
      <c r="E38" s="42">
        <f>SUM(E36:E37)</f>
        <v>19964337.369999997</v>
      </c>
      <c r="F38" s="42"/>
      <c r="G38" s="48">
        <f>SUM(G36:G37)</f>
        <v>22692265</v>
      </c>
      <c r="H38" s="74">
        <f>SUM(H36:H37)</f>
        <v>19732451.769999996</v>
      </c>
      <c r="I38" s="74">
        <f>SUM(I36:I37)</f>
        <v>3809989</v>
      </c>
      <c r="J38" s="95">
        <f>SUM(J36:J37)</f>
        <v>15922462.77</v>
      </c>
      <c r="K38" s="91"/>
      <c r="L38" s="93"/>
      <c r="M38" s="93"/>
      <c r="R38" s="107">
        <f>SUM(R36:R37)</f>
        <v>21940878.741993427</v>
      </c>
    </row>
    <row r="39" spans="1:18" x14ac:dyDescent="0.3">
      <c r="A39" s="39" t="s">
        <v>6</v>
      </c>
      <c r="B39" s="96"/>
      <c r="C39" s="96"/>
      <c r="D39" s="96"/>
      <c r="F39" s="96"/>
      <c r="G39" s="96"/>
      <c r="H39" s="74"/>
      <c r="I39" s="74"/>
      <c r="J39" s="95"/>
      <c r="K39" s="91"/>
      <c r="L39" s="93"/>
      <c r="M39" s="93"/>
      <c r="R39" s="107"/>
    </row>
    <row r="40" spans="1:18" x14ac:dyDescent="0.3">
      <c r="B40" s="96"/>
      <c r="C40" s="96"/>
      <c r="D40" s="65"/>
      <c r="F40" s="97"/>
      <c r="G40" s="97"/>
      <c r="H40" s="96"/>
      <c r="I40" s="96"/>
      <c r="J40" s="98" t="s">
        <v>6</v>
      </c>
      <c r="K40" s="98"/>
      <c r="L40" s="99"/>
      <c r="M40" s="100"/>
      <c r="N40" s="100"/>
      <c r="O40" s="100"/>
      <c r="P40" s="100"/>
      <c r="Q40" s="100"/>
      <c r="R40" s="108"/>
    </row>
    <row r="41" spans="1:18" x14ac:dyDescent="0.3">
      <c r="B41" s="96"/>
      <c r="C41" s="96"/>
      <c r="D41" s="97"/>
      <c r="F41" s="97"/>
      <c r="G41" s="97"/>
      <c r="H41" s="96"/>
      <c r="I41" s="96"/>
      <c r="J41" s="98"/>
      <c r="K41" s="98"/>
      <c r="L41" s="101" t="s">
        <v>49</v>
      </c>
      <c r="M41" s="102"/>
      <c r="N41" s="103"/>
      <c r="O41" s="103"/>
      <c r="P41" s="103"/>
      <c r="Q41" s="103"/>
      <c r="R41" s="109">
        <f>SUM(R38:R39)</f>
        <v>21940878.741993427</v>
      </c>
    </row>
    <row r="42" spans="1:18" x14ac:dyDescent="0.3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</row>
    <row r="43" spans="1:18" x14ac:dyDescent="0.3">
      <c r="A43" s="105" t="s">
        <v>50</v>
      </c>
      <c r="B43" s="106">
        <f>B30/B12</f>
        <v>2.7368406730535555</v>
      </c>
      <c r="C43" s="106">
        <f>C30/C12</f>
        <v>2.8977173920812742</v>
      </c>
      <c r="D43" s="106">
        <f>D30/D12</f>
        <v>3.0923945829779327</v>
      </c>
      <c r="E43" s="106">
        <f>E30/E12</f>
        <v>2.7599774916684332</v>
      </c>
      <c r="F43" s="106"/>
      <c r="G43" s="106"/>
      <c r="H43" s="106">
        <f>H30/H12</f>
        <v>2.7577602140599202</v>
      </c>
      <c r="I43" s="106"/>
      <c r="J43" s="61"/>
      <c r="K43" s="61"/>
      <c r="L43" s="93" t="s">
        <v>6</v>
      </c>
      <c r="M43" s="93"/>
      <c r="N43" s="93"/>
      <c r="O43" s="93"/>
      <c r="P43" s="93"/>
      <c r="Q43" s="93"/>
      <c r="R43" s="106">
        <f>R30/R12</f>
        <v>2.9412712616176799</v>
      </c>
    </row>
    <row r="44" spans="1:18" ht="15" thickBot="1" x14ac:dyDescent="0.35"/>
    <row r="45" spans="1:18" ht="18" x14ac:dyDescent="0.35">
      <c r="D45" s="110" t="s">
        <v>51</v>
      </c>
      <c r="E45" s="111"/>
      <c r="F45" s="111"/>
      <c r="G45" s="111"/>
      <c r="H45" s="112">
        <f>G38-H38</f>
        <v>2959813.2300000042</v>
      </c>
      <c r="I45" s="113"/>
    </row>
    <row r="46" spans="1:18" ht="18.600000000000001" thickBot="1" x14ac:dyDescent="0.4">
      <c r="D46" s="114"/>
      <c r="E46" s="115"/>
      <c r="F46" s="115"/>
      <c r="G46" s="115"/>
      <c r="H46" s="115"/>
      <c r="I46" s="116"/>
    </row>
  </sheetData>
  <pageMargins left="0.25" right="0.25" top="0.5" bottom="0.5" header="0.3" footer="0.3"/>
  <pageSetup paperSize="5" scale="75" orientation="landscape" r:id="rId1"/>
  <headerFooter>
    <oddFooter>&amp;L&amp;D&amp;CPrinted on &amp;D&amp;RLarry S. Fodor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Steven Fodor</dc:creator>
  <cp:lastModifiedBy>Larry Steven Fodor</cp:lastModifiedBy>
  <cp:lastPrinted>2016-10-12T18:36:13Z</cp:lastPrinted>
  <dcterms:created xsi:type="dcterms:W3CDTF">2016-10-12T18:30:43Z</dcterms:created>
  <dcterms:modified xsi:type="dcterms:W3CDTF">2016-10-12T18:38:59Z</dcterms:modified>
</cp:coreProperties>
</file>