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FPM Business Services\Director\files for a.strickland\Angela\FY2016-2017 Budget Planning\Lee Richey\"/>
    </mc:Choice>
  </mc:AlternateContent>
  <bookViews>
    <workbookView xWindow="6360" yWindow="1536" windowWidth="7428" windowHeight="8880"/>
  </bookViews>
  <sheets>
    <sheet name="service contracts" sheetId="1" r:id="rId1"/>
    <sheet name="Sheet3" sheetId="3" r:id="rId2"/>
  </sheets>
  <externalReferences>
    <externalReference r:id="rId3"/>
  </externalReferences>
  <definedNames>
    <definedName name="_xlnm.Print_Area" localSheetId="0">'service contracts'!$A$1:$S$144</definedName>
    <definedName name="_xlnm.Print_Titles" localSheetId="0">'service contracts'!$4:$4</definedName>
  </definedNames>
  <calcPr calcId="152511"/>
</workbook>
</file>

<file path=xl/calcChain.xml><?xml version="1.0" encoding="utf-8"?>
<calcChain xmlns="http://schemas.openxmlformats.org/spreadsheetml/2006/main">
  <c r="S17" i="1" l="1"/>
  <c r="S15" i="1"/>
  <c r="S12" i="1"/>
  <c r="S8" i="1"/>
  <c r="S36" i="1"/>
  <c r="S120" i="1"/>
  <c r="S122" i="1"/>
  <c r="S116" i="1"/>
  <c r="S95" i="1" l="1"/>
  <c r="R93" i="1"/>
  <c r="Q93" i="1"/>
  <c r="Q95" i="1" s="1"/>
  <c r="R92" i="1"/>
  <c r="R95" i="1" s="1"/>
  <c r="P92" i="1"/>
  <c r="N124" i="1" l="1"/>
  <c r="N123" i="1"/>
  <c r="N122" i="1"/>
  <c r="N121" i="1"/>
  <c r="N120" i="1"/>
  <c r="N119" i="1"/>
  <c r="N118" i="1"/>
  <c r="N117" i="1"/>
  <c r="N116" i="1"/>
  <c r="R125" i="1"/>
  <c r="Q125" i="1"/>
  <c r="P125" i="1"/>
  <c r="O125" i="1"/>
  <c r="N125" i="1" l="1"/>
  <c r="P130" i="1"/>
  <c r="R104" i="1" l="1"/>
  <c r="Q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S104" i="1"/>
  <c r="O101" i="1"/>
  <c r="O102" i="1"/>
  <c r="P101" i="1"/>
  <c r="P104" i="1" s="1"/>
  <c r="S88" i="1"/>
  <c r="Q80" i="1"/>
  <c r="Q88" i="1" s="1"/>
  <c r="R80" i="1"/>
  <c r="R88" i="1" s="1"/>
  <c r="S72" i="1"/>
  <c r="R72" i="1"/>
  <c r="Q72" i="1"/>
  <c r="O104" i="1" l="1"/>
  <c r="S125" i="1"/>
  <c r="S47" i="1"/>
  <c r="S77" i="1" l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S68" i="1"/>
  <c r="R68" i="1"/>
  <c r="Q68" i="1"/>
  <c r="P68" i="1"/>
  <c r="O68" i="1"/>
  <c r="M68" i="1"/>
  <c r="L68" i="1"/>
  <c r="K68" i="1"/>
  <c r="J68" i="1"/>
  <c r="I68" i="1"/>
  <c r="H68" i="1"/>
  <c r="G68" i="1"/>
  <c r="F68" i="1"/>
  <c r="E68" i="1"/>
  <c r="D68" i="1"/>
  <c r="C68" i="1"/>
  <c r="Q107" i="1"/>
  <c r="O26" i="1" l="1"/>
  <c r="N26" i="1"/>
  <c r="L26" i="1"/>
  <c r="S24" i="1"/>
  <c r="S26" i="1" s="1"/>
  <c r="Q24" i="1"/>
  <c r="P24" i="1"/>
  <c r="Q23" i="1"/>
  <c r="P23" i="1"/>
  <c r="R25" i="1"/>
  <c r="R26" i="1" s="1"/>
  <c r="S52" i="1"/>
  <c r="S56" i="1" s="1"/>
  <c r="R52" i="1"/>
  <c r="R56" i="1" s="1"/>
  <c r="Q52" i="1"/>
  <c r="S63" i="1"/>
  <c r="O63" i="1"/>
  <c r="N63" i="1"/>
  <c r="L63" i="1"/>
  <c r="K63" i="1"/>
  <c r="J63" i="1"/>
  <c r="I63" i="1"/>
  <c r="H63" i="1"/>
  <c r="R61" i="1"/>
  <c r="R63" i="1" s="1"/>
  <c r="Q61" i="1"/>
  <c r="Q63" i="1" s="1"/>
  <c r="P61" i="1"/>
  <c r="P63" i="1" s="1"/>
  <c r="M60" i="1"/>
  <c r="M63" i="1" s="1"/>
  <c r="S49" i="1" l="1"/>
  <c r="R49" i="1"/>
  <c r="Q54" i="1"/>
  <c r="Q56" i="1" s="1"/>
  <c r="Q46" i="1"/>
  <c r="Q49" i="1" s="1"/>
  <c r="P53" i="1"/>
  <c r="P54" i="1"/>
  <c r="P52" i="1"/>
  <c r="P46" i="1"/>
  <c r="P49" i="1" s="1"/>
  <c r="O53" i="1"/>
  <c r="O52" i="1"/>
  <c r="O49" i="1"/>
  <c r="S37" i="1"/>
  <c r="R36" i="1"/>
  <c r="R37" i="1" s="1"/>
  <c r="Q36" i="1"/>
  <c r="Q37" i="1" s="1"/>
  <c r="Q22" i="1"/>
  <c r="Q26" i="1" s="1"/>
  <c r="R17" i="1"/>
  <c r="R15" i="1" l="1"/>
  <c r="Q17" i="1"/>
  <c r="Q15" i="1"/>
  <c r="S13" i="1"/>
  <c r="R12" i="1"/>
  <c r="R13" i="1" s="1"/>
  <c r="P12" i="1"/>
  <c r="Q12" i="1"/>
  <c r="Q13" i="1" s="1"/>
  <c r="S9" i="1"/>
  <c r="R8" i="1"/>
  <c r="R9" i="1" s="1"/>
  <c r="R112" i="1" s="1"/>
  <c r="R144" i="1" s="1"/>
  <c r="Q8" i="1"/>
  <c r="Q9" i="1" s="1"/>
  <c r="P6" i="1"/>
  <c r="S112" i="1" l="1"/>
  <c r="S144" i="1" s="1"/>
  <c r="Q112" i="1"/>
  <c r="Q144" i="1" s="1"/>
  <c r="M7" i="1"/>
  <c r="L7" i="1"/>
  <c r="K7" i="1"/>
  <c r="J7" i="1"/>
  <c r="N95" i="1" l="1"/>
  <c r="O95" i="1"/>
  <c r="P95" i="1"/>
  <c r="N66" i="1"/>
  <c r="N68" i="1" s="1"/>
  <c r="N88" i="1"/>
  <c r="O88" i="1"/>
  <c r="P88" i="1"/>
  <c r="P56" i="1"/>
  <c r="O56" i="1"/>
  <c r="N56" i="1"/>
  <c r="M56" i="1"/>
  <c r="L56" i="1"/>
  <c r="K56" i="1"/>
  <c r="J56" i="1"/>
  <c r="I56" i="1"/>
  <c r="H56" i="1"/>
  <c r="G56" i="1"/>
  <c r="N44" i="1"/>
  <c r="N49" i="1" s="1"/>
  <c r="P72" i="1" l="1"/>
  <c r="O72" i="1"/>
  <c r="N72" i="1"/>
  <c r="J37" i="1" l="1"/>
  <c r="I37" i="1"/>
  <c r="H37" i="1"/>
  <c r="G37" i="1"/>
  <c r="E37" i="1"/>
  <c r="D37" i="1"/>
  <c r="P36" i="1"/>
  <c r="P37" i="1" s="1"/>
  <c r="O36" i="1"/>
  <c r="O37" i="1" s="1"/>
  <c r="N36" i="1"/>
  <c r="N33" i="1"/>
  <c r="M33" i="1"/>
  <c r="M37" i="1" s="1"/>
  <c r="P15" i="1"/>
  <c r="O15" i="1"/>
  <c r="N15" i="1"/>
  <c r="P13" i="1"/>
  <c r="O12" i="1"/>
  <c r="O13" i="1" s="1"/>
  <c r="N12" i="1"/>
  <c r="N13" i="1" s="1"/>
  <c r="M12" i="1"/>
  <c r="P9" i="1"/>
  <c r="O6" i="1"/>
  <c r="O9" i="1" s="1"/>
  <c r="N6" i="1"/>
  <c r="N9" i="1" s="1"/>
  <c r="P21" i="1"/>
  <c r="P26" i="1" s="1"/>
  <c r="M15" i="1"/>
  <c r="M9" i="1"/>
  <c r="M95" i="1"/>
  <c r="M20" i="1"/>
  <c r="M26" i="1" s="1"/>
  <c r="M44" i="1"/>
  <c r="M72" i="1"/>
  <c r="O112" i="1" l="1"/>
  <c r="O144" i="1" s="1"/>
  <c r="N37" i="1"/>
  <c r="N112" i="1" s="1"/>
  <c r="N144" i="1" s="1"/>
  <c r="P112" i="1"/>
  <c r="P144" i="1" s="1"/>
  <c r="M88" i="1" l="1"/>
  <c r="M40" i="1"/>
  <c r="M49" i="1" s="1"/>
  <c r="M13" i="1"/>
  <c r="M112" i="1" s="1"/>
  <c r="L9" i="1"/>
  <c r="L12" i="1"/>
  <c r="L13" i="1" s="1"/>
  <c r="L33" i="1"/>
  <c r="L37" i="1" s="1"/>
  <c r="D159" i="1"/>
  <c r="C159" i="1"/>
  <c r="F9" i="1"/>
  <c r="F13" i="1"/>
  <c r="F30" i="1"/>
  <c r="F33" i="1"/>
  <c r="F40" i="1"/>
  <c r="F41" i="1"/>
  <c r="F42" i="1"/>
  <c r="F43" i="1"/>
  <c r="F51" i="1"/>
  <c r="F56" i="1" s="1"/>
  <c r="F59" i="1"/>
  <c r="F63" i="1" s="1"/>
  <c r="F70" i="1"/>
  <c r="F71" i="1"/>
  <c r="E9" i="1"/>
  <c r="E13" i="1"/>
  <c r="E40" i="1"/>
  <c r="E41" i="1"/>
  <c r="E42" i="1"/>
  <c r="E43" i="1"/>
  <c r="E51" i="1"/>
  <c r="E56" i="1" s="1"/>
  <c r="E59" i="1"/>
  <c r="E63" i="1" s="1"/>
  <c r="E70" i="1"/>
  <c r="E71" i="1"/>
  <c r="G9" i="1"/>
  <c r="G13" i="1"/>
  <c r="G40" i="1"/>
  <c r="G41" i="1"/>
  <c r="G43" i="1"/>
  <c r="G59" i="1"/>
  <c r="G63" i="1" s="1"/>
  <c r="G70" i="1"/>
  <c r="G71" i="1"/>
  <c r="H9" i="1"/>
  <c r="H13" i="1"/>
  <c r="H43" i="1"/>
  <c r="H49" i="1" s="1"/>
  <c r="H72" i="1"/>
  <c r="H88" i="1"/>
  <c r="I9" i="1"/>
  <c r="I13" i="1"/>
  <c r="I43" i="1"/>
  <c r="I49" i="1" s="1"/>
  <c r="I72" i="1"/>
  <c r="I88" i="1"/>
  <c r="J9" i="1"/>
  <c r="J13" i="1"/>
  <c r="J40" i="1"/>
  <c r="J41" i="1"/>
  <c r="J42" i="1"/>
  <c r="J72" i="1"/>
  <c r="J88" i="1"/>
  <c r="K9" i="1"/>
  <c r="K13" i="1"/>
  <c r="K33" i="1"/>
  <c r="K37" i="1" s="1"/>
  <c r="K40" i="1"/>
  <c r="K41" i="1"/>
  <c r="K42" i="1"/>
  <c r="K72" i="1"/>
  <c r="K88" i="1"/>
  <c r="D9" i="1"/>
  <c r="D13" i="1"/>
  <c r="D40" i="1"/>
  <c r="D41" i="1"/>
  <c r="D42" i="1"/>
  <c r="D43" i="1"/>
  <c r="D51" i="1"/>
  <c r="D56" i="1" s="1"/>
  <c r="D59" i="1"/>
  <c r="D63" i="1" s="1"/>
  <c r="D70" i="1"/>
  <c r="D71" i="1"/>
  <c r="C9" i="1"/>
  <c r="C13" i="1"/>
  <c r="C30" i="1"/>
  <c r="C37" i="1" s="1"/>
  <c r="C40" i="1"/>
  <c r="C42" i="1"/>
  <c r="C43" i="1"/>
  <c r="C51" i="1"/>
  <c r="C56" i="1" s="1"/>
  <c r="C59" i="1"/>
  <c r="C63" i="1" s="1"/>
  <c r="C70" i="1"/>
  <c r="C71" i="1"/>
  <c r="L41" i="1"/>
  <c r="L49" i="1" s="1"/>
  <c r="L72" i="1"/>
  <c r="L88" i="1"/>
  <c r="I112" i="1" l="1"/>
  <c r="L112" i="1"/>
  <c r="H112" i="1"/>
  <c r="F37" i="1"/>
  <c r="D72" i="1"/>
  <c r="G49" i="1"/>
  <c r="G72" i="1"/>
  <c r="F72" i="1"/>
  <c r="J49" i="1"/>
  <c r="J112" i="1" s="1"/>
  <c r="C49" i="1"/>
  <c r="E49" i="1"/>
  <c r="C72" i="1"/>
  <c r="D49" i="1"/>
  <c r="D112" i="1" s="1"/>
  <c r="K49" i="1"/>
  <c r="K112" i="1" s="1"/>
  <c r="E72" i="1"/>
  <c r="F49" i="1"/>
  <c r="F112" i="1" s="1"/>
  <c r="C112" i="1" l="1"/>
  <c r="G112" i="1"/>
  <c r="E112" i="1"/>
</calcChain>
</file>

<file path=xl/sharedStrings.xml><?xml version="1.0" encoding="utf-8"?>
<sst xmlns="http://schemas.openxmlformats.org/spreadsheetml/2006/main" count="158" uniqueCount="146">
  <si>
    <t>Category</t>
  </si>
  <si>
    <t>HVAC/Chillers</t>
  </si>
  <si>
    <t>Vendor</t>
  </si>
  <si>
    <t>Trane</t>
  </si>
  <si>
    <t>York</t>
  </si>
  <si>
    <t>McQuay</t>
  </si>
  <si>
    <t>Carrier</t>
  </si>
  <si>
    <t>FY00</t>
  </si>
  <si>
    <t>FY01</t>
  </si>
  <si>
    <t>FY02</t>
  </si>
  <si>
    <t>FY03</t>
  </si>
  <si>
    <t>FY04</t>
  </si>
  <si>
    <t>Boilers</t>
  </si>
  <si>
    <t>BASCO</t>
  </si>
  <si>
    <t>Reverse Osmosis System</t>
  </si>
  <si>
    <t>Honeywell</t>
  </si>
  <si>
    <t>Siemens</t>
  </si>
  <si>
    <t>Subtotal</t>
  </si>
  <si>
    <t>Rubbish</t>
  </si>
  <si>
    <t>Elevators</t>
  </si>
  <si>
    <t>Lardner</t>
  </si>
  <si>
    <t>Otis</t>
  </si>
  <si>
    <t>Montgomery</t>
  </si>
  <si>
    <t>Thyssen</t>
  </si>
  <si>
    <t>Kone</t>
  </si>
  <si>
    <t>City of Detroit</t>
  </si>
  <si>
    <t>Waste Management</t>
  </si>
  <si>
    <t xml:space="preserve">Capital </t>
  </si>
  <si>
    <t xml:space="preserve">    Subtotal</t>
  </si>
  <si>
    <t>Grand Total</t>
  </si>
  <si>
    <t>Dover</t>
  </si>
  <si>
    <t>Kirko</t>
  </si>
  <si>
    <t>FY05</t>
  </si>
  <si>
    <t>FY06</t>
  </si>
  <si>
    <t>FY07</t>
  </si>
  <si>
    <t>CTT Partners</t>
  </si>
  <si>
    <t>Generators</t>
  </si>
  <si>
    <t>Firealarm Systems</t>
  </si>
  <si>
    <t>Cummins Bridgeway</t>
  </si>
  <si>
    <t>Healey Fire Protection</t>
  </si>
  <si>
    <t>National Time Signal</t>
  </si>
  <si>
    <t>Underwood Fire Equipment</t>
  </si>
  <si>
    <t>Eastman Fire Protections</t>
  </si>
  <si>
    <t>I/Q Life Safety</t>
  </si>
  <si>
    <t>Simplex Grinnell</t>
  </si>
  <si>
    <t>FY08</t>
  </si>
  <si>
    <t>Johson Controls</t>
  </si>
  <si>
    <t>FY09</t>
  </si>
  <si>
    <t>Snow Removal</t>
  </si>
  <si>
    <t>Siemens Water Technologies</t>
  </si>
  <si>
    <t>Filters</t>
  </si>
  <si>
    <t>Temperature Controls</t>
  </si>
  <si>
    <t>Servitronics</t>
  </si>
  <si>
    <t>Systematic Fire Protection</t>
  </si>
  <si>
    <t xml:space="preserve">Total Filtration Systems (US Filter) </t>
  </si>
  <si>
    <t xml:space="preserve">Exfil (Air Filter) </t>
  </si>
  <si>
    <t xml:space="preserve">   Fiscal Year 2000</t>
  </si>
  <si>
    <t xml:space="preserve">   Fiscal Year 2001</t>
  </si>
  <si>
    <t>Building Type</t>
  </si>
  <si>
    <t>Gross Area</t>
  </si>
  <si>
    <t>General Fund Buildings</t>
  </si>
  <si>
    <t>Non-General Fund Buildings</t>
  </si>
  <si>
    <t>Current Fund Buildings</t>
  </si>
  <si>
    <t xml:space="preserve">   Fiscal Year 2002</t>
  </si>
  <si>
    <t xml:space="preserve">   Fiscal Year 2003</t>
  </si>
  <si>
    <t xml:space="preserve">   Fiscal Year 2004</t>
  </si>
  <si>
    <t xml:space="preserve">   Fiscal Year 2005</t>
  </si>
  <si>
    <t xml:space="preserve">   Fiscal Year 2006</t>
  </si>
  <si>
    <t xml:space="preserve">   Fiscal Year 2007</t>
  </si>
  <si>
    <t xml:space="preserve">   Fiscal Year 2008</t>
  </si>
  <si>
    <t xml:space="preserve">   Fiscal Year 2009</t>
  </si>
  <si>
    <t>FY10</t>
  </si>
  <si>
    <t>Owens Resource Group</t>
  </si>
  <si>
    <t>Macomb Ctr</t>
  </si>
  <si>
    <t xml:space="preserve">CTT Partners </t>
  </si>
  <si>
    <t>Agar</t>
  </si>
  <si>
    <t>Okland Center Mgmt Contract</t>
  </si>
  <si>
    <t>Western Mechanical</t>
  </si>
  <si>
    <t>Disaster Recovery</t>
  </si>
  <si>
    <t>Statewide  Dis. Rest.</t>
  </si>
  <si>
    <t>Sunglo</t>
  </si>
  <si>
    <t>BelFor</t>
  </si>
  <si>
    <t>WH Canon</t>
  </si>
  <si>
    <t>Schindler</t>
  </si>
  <si>
    <t>FY11</t>
  </si>
  <si>
    <t>FY12</t>
  </si>
  <si>
    <t>FY13</t>
  </si>
  <si>
    <t>Linc Mechanical</t>
  </si>
  <si>
    <t>Detroit Boiler</t>
  </si>
  <si>
    <t>Kropf</t>
  </si>
  <si>
    <t>FY14</t>
  </si>
  <si>
    <t>FY15</t>
  </si>
  <si>
    <t>FY16</t>
  </si>
  <si>
    <t>MWStar Waste Holding</t>
  </si>
  <si>
    <t>ATEC</t>
  </si>
  <si>
    <t>Michigan Salt Products</t>
  </si>
  <si>
    <t>D.J. Conley</t>
  </si>
  <si>
    <t>Johnson Controls</t>
  </si>
  <si>
    <t>Filter Engineering</t>
  </si>
  <si>
    <t>Aerofilters, Inc.</t>
  </si>
  <si>
    <t>Compass Minerals</t>
  </si>
  <si>
    <t>Flo-Dry</t>
  </si>
  <si>
    <t>Detroit Salt</t>
  </si>
  <si>
    <t>EWT Holdings</t>
  </si>
  <si>
    <t>Eldon Water</t>
  </si>
  <si>
    <t>GMT (Wolverine)</t>
  </si>
  <si>
    <t>PM Technologies</t>
  </si>
  <si>
    <t>Temperture Services</t>
  </si>
  <si>
    <t>Mechanical Services S</t>
  </si>
  <si>
    <t>Expert  Services</t>
  </si>
  <si>
    <t>Ferguson Construction</t>
  </si>
  <si>
    <t>GE Betz</t>
  </si>
  <si>
    <t>Chemicals</t>
  </si>
  <si>
    <t>UPS Lighting Invertors</t>
  </si>
  <si>
    <t>To Be Bidded This Year</t>
  </si>
  <si>
    <t>Water Backflow</t>
  </si>
  <si>
    <t>Vechicles</t>
  </si>
  <si>
    <t>Motor Pool</t>
  </si>
  <si>
    <t>Shambaugh</t>
  </si>
  <si>
    <t>American Sprinkler</t>
  </si>
  <si>
    <t>Irrigation Services</t>
  </si>
  <si>
    <t>Landscape Services</t>
  </si>
  <si>
    <t>Lianita Construction</t>
  </si>
  <si>
    <t>Supplies and Materials</t>
  </si>
  <si>
    <t>Carpentry Supplies and Materials</t>
  </si>
  <si>
    <t>Electrical Supplies and Materials</t>
  </si>
  <si>
    <t>Plumbing/Pipefittings Supplies and Materials</t>
  </si>
  <si>
    <t>Painting / Plasters</t>
  </si>
  <si>
    <t>HVAC Supplies and Materials</t>
  </si>
  <si>
    <t>Pest Control</t>
  </si>
  <si>
    <t>Custodial Supplies</t>
  </si>
  <si>
    <t>Grounds Supplies</t>
  </si>
  <si>
    <t>Gas and Oil Supplies</t>
  </si>
  <si>
    <t>Carpentry Contracted Services</t>
  </si>
  <si>
    <t>Electrical  Contracted Services</t>
  </si>
  <si>
    <t>Plumbing/Pipefittings  Contracted Services</t>
  </si>
  <si>
    <t>Painting / Plasters  Contracted Services</t>
  </si>
  <si>
    <t>HVAC  Contracted Services</t>
  </si>
  <si>
    <t>Pest Control  Contracted Services</t>
  </si>
  <si>
    <t>Custodial  Contracted Services</t>
  </si>
  <si>
    <t>Grounds  Contracted Services</t>
  </si>
  <si>
    <t>Gas and Oil  Contracted Services</t>
  </si>
  <si>
    <t xml:space="preserve">  Power Vac</t>
  </si>
  <si>
    <t xml:space="preserve">  Next Generation (Asbestos Removal</t>
  </si>
  <si>
    <t>Grand Total Service Contracts</t>
  </si>
  <si>
    <t>Grand Total Supplies and Materials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</si>
</sst>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0.00_);\(0.00\)"/>
    <numFmt numFmtId="166" formatCode="_(* #,##0_);_(* \(#,##0\);_(* &quot;-&quot;??_);_(@_)"/>
  </numFmts>
  <fonts count="9" x14ac:knownFonts="1">
    <font>
      <sz val="10"/>
      <name val="Arial"/>
    </font>
    <font>
      <b/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37" fontId="0" fillId="0" borderId="0" xfId="0" applyNumberFormat="1"/>
    <xf numFmtId="37" fontId="0" fillId="0" borderId="1" xfId="0" applyNumberFormat="1" applyBorder="1"/>
    <xf numFmtId="0" fontId="3" fillId="0" borderId="0" xfId="0" applyFont="1"/>
    <xf numFmtId="0" fontId="4" fillId="0" borderId="0" xfId="0" applyFont="1"/>
    <xf numFmtId="37" fontId="4" fillId="0" borderId="0" xfId="0" applyNumberFormat="1" applyFont="1"/>
    <xf numFmtId="37" fontId="4" fillId="0" borderId="1" xfId="0" applyNumberFormat="1" applyFont="1" applyBorder="1"/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37" fontId="3" fillId="0" borderId="0" xfId="0" applyNumberFormat="1" applyFont="1"/>
    <xf numFmtId="0" fontId="0" fillId="0" borderId="0" xfId="0" applyAlignment="1">
      <alignment horizontal="center"/>
    </xf>
    <xf numFmtId="164" fontId="0" fillId="0" borderId="0" xfId="0" applyNumberFormat="1"/>
    <xf numFmtId="37" fontId="0" fillId="0" borderId="0" xfId="0" applyNumberFormat="1" applyFill="1"/>
    <xf numFmtId="37" fontId="0" fillId="0" borderId="1" xfId="0" applyNumberFormat="1" applyFill="1" applyBorder="1"/>
    <xf numFmtId="37" fontId="4" fillId="0" borderId="0" xfId="0" applyNumberFormat="1" applyFont="1" applyFill="1"/>
    <xf numFmtId="37" fontId="4" fillId="0" borderId="1" xfId="0" applyNumberFormat="1" applyFont="1" applyFill="1" applyBorder="1"/>
    <xf numFmtId="37" fontId="0" fillId="0" borderId="4" xfId="0" applyNumberFormat="1" applyBorder="1"/>
    <xf numFmtId="0" fontId="4" fillId="0" borderId="0" xfId="0" applyFont="1" applyFill="1"/>
    <xf numFmtId="0" fontId="0" fillId="0" borderId="0" xfId="0" applyFill="1"/>
    <xf numFmtId="37" fontId="0" fillId="0" borderId="0" xfId="0" applyNumberFormat="1" applyBorder="1"/>
    <xf numFmtId="37" fontId="0" fillId="0" borderId="0" xfId="0" applyNumberFormat="1" applyFill="1" applyBorder="1"/>
    <xf numFmtId="37" fontId="4" fillId="0" borderId="0" xfId="0" applyNumberFormat="1" applyFont="1" applyBorder="1"/>
    <xf numFmtId="0" fontId="0" fillId="0" borderId="1" xfId="0" applyBorder="1"/>
    <xf numFmtId="0" fontId="0" fillId="0" borderId="0" xfId="0" applyBorder="1"/>
    <xf numFmtId="10" fontId="0" fillId="0" borderId="0" xfId="0" applyNumberFormat="1"/>
    <xf numFmtId="0" fontId="0" fillId="0" borderId="0" xfId="0" applyFill="1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5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3" fontId="0" fillId="0" borderId="13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0" fontId="0" fillId="0" borderId="6" xfId="0" applyBorder="1" applyAlignment="1">
      <alignment horizontal="center" wrapText="1"/>
    </xf>
    <xf numFmtId="0" fontId="1" fillId="0" borderId="5" xfId="0" applyFont="1" applyBorder="1"/>
    <xf numFmtId="38" fontId="0" fillId="0" borderId="0" xfId="0" applyNumberFormat="1" applyBorder="1"/>
    <xf numFmtId="0" fontId="4" fillId="0" borderId="0" xfId="0" applyFont="1" applyFill="1" applyAlignment="1">
      <alignment wrapText="1"/>
    </xf>
    <xf numFmtId="38" fontId="0" fillId="0" borderId="1" xfId="0" applyNumberFormat="1" applyBorder="1"/>
    <xf numFmtId="0" fontId="0" fillId="0" borderId="18" xfId="0" applyBorder="1"/>
    <xf numFmtId="0" fontId="0" fillId="0" borderId="19" xfId="0" applyBorder="1" applyAlignment="1">
      <alignment horizontal="center" wrapText="1"/>
    </xf>
    <xf numFmtId="1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166" fontId="0" fillId="0" borderId="0" xfId="1" applyNumberFormat="1" applyFont="1"/>
    <xf numFmtId="166" fontId="0" fillId="0" borderId="0" xfId="1" applyNumberFormat="1" applyFont="1" applyBorder="1"/>
    <xf numFmtId="166" fontId="0" fillId="0" borderId="1" xfId="1" applyNumberFormat="1" applyFont="1" applyBorder="1"/>
    <xf numFmtId="166" fontId="4" fillId="0" borderId="0" xfId="1" applyNumberFormat="1" applyFont="1"/>
    <xf numFmtId="0" fontId="0" fillId="0" borderId="0" xfId="0" applyFont="1" applyFill="1"/>
    <xf numFmtId="37" fontId="0" fillId="0" borderId="0" xfId="1" applyNumberFormat="1" applyFont="1"/>
    <xf numFmtId="0" fontId="1" fillId="0" borderId="2" xfId="0" applyFont="1" applyFill="1" applyBorder="1"/>
    <xf numFmtId="0" fontId="1" fillId="0" borderId="3" xfId="0" applyFont="1" applyFill="1" applyBorder="1"/>
    <xf numFmtId="0" fontId="1" fillId="0" borderId="5" xfId="0" applyFont="1" applyFill="1" applyBorder="1"/>
    <xf numFmtId="0" fontId="4" fillId="0" borderId="0" xfId="0" applyFont="1" applyBorder="1"/>
    <xf numFmtId="0" fontId="4" fillId="0" borderId="0" xfId="0" applyFont="1" applyFill="1" applyBorder="1"/>
    <xf numFmtId="166" fontId="0" fillId="0" borderId="0" xfId="0" applyNumberFormat="1" applyBorder="1"/>
    <xf numFmtId="166" fontId="0" fillId="0" borderId="0" xfId="0" applyNumberFormat="1"/>
    <xf numFmtId="166" fontId="4" fillId="0" borderId="0" xfId="0" applyNumberFormat="1" applyFont="1"/>
    <xf numFmtId="166" fontId="0" fillId="0" borderId="0" xfId="0" applyNumberFormat="1" applyBorder="1" applyAlignment="1">
      <alignment horizontal="center"/>
    </xf>
    <xf numFmtId="166" fontId="0" fillId="0" borderId="1" xfId="0" applyNumberFormat="1" applyBorder="1"/>
    <xf numFmtId="166" fontId="4" fillId="0" borderId="0" xfId="1" applyNumberFormat="1" applyFont="1" applyBorder="1"/>
    <xf numFmtId="166" fontId="4" fillId="0" borderId="0" xfId="1" applyNumberFormat="1" applyFont="1" applyFill="1" applyBorder="1"/>
    <xf numFmtId="166" fontId="4" fillId="0" borderId="1" xfId="1" applyNumberFormat="1" applyFont="1" applyBorder="1"/>
    <xf numFmtId="43" fontId="8" fillId="0" borderId="0" xfId="3" applyFont="1" applyFill="1" applyBorder="1" applyAlignment="1">
      <alignment horizontal="right"/>
    </xf>
    <xf numFmtId="43" fontId="8" fillId="0" borderId="1" xfId="3" applyFont="1" applyFill="1" applyBorder="1" applyAlignment="1">
      <alignment horizontal="right"/>
    </xf>
    <xf numFmtId="41" fontId="8" fillId="0" borderId="0" xfId="3" applyNumberFormat="1" applyFont="1" applyFill="1" applyBorder="1" applyAlignment="1">
      <alignment horizontal="right"/>
    </xf>
    <xf numFmtId="37" fontId="4" fillId="0" borderId="0" xfId="0" applyNumberFormat="1" applyFont="1" applyFill="1" applyBorder="1"/>
    <xf numFmtId="166" fontId="0" fillId="0" borderId="0" xfId="1" applyNumberFormat="1" applyFont="1" applyFill="1" applyBorder="1"/>
    <xf numFmtId="166" fontId="4" fillId="0" borderId="1" xfId="0" applyNumberFormat="1" applyFont="1" applyBorder="1"/>
    <xf numFmtId="166" fontId="4" fillId="0" borderId="0" xfId="0" applyNumberFormat="1" applyFont="1" applyBorder="1"/>
    <xf numFmtId="38" fontId="0" fillId="0" borderId="0" xfId="0" applyNumberFormat="1"/>
    <xf numFmtId="166" fontId="0" fillId="2" borderId="0" xfId="0" applyNumberFormat="1" applyFill="1"/>
    <xf numFmtId="166" fontId="0" fillId="0" borderId="0" xfId="0" applyNumberFormat="1" applyFill="1"/>
    <xf numFmtId="38" fontId="0" fillId="0" borderId="0" xfId="1" applyNumberFormat="1" applyFont="1"/>
    <xf numFmtId="38" fontId="0" fillId="0" borderId="1" xfId="1" applyNumberFormat="1" applyFont="1" applyBorder="1"/>
    <xf numFmtId="38" fontId="0" fillId="0" borderId="0" xfId="1" applyNumberFormat="1" applyFont="1" applyBorder="1"/>
    <xf numFmtId="38" fontId="4" fillId="0" borderId="0" xfId="0" applyNumberFormat="1" applyFont="1"/>
    <xf numFmtId="38" fontId="4" fillId="0" borderId="0" xfId="1" applyNumberFormat="1" applyFont="1"/>
    <xf numFmtId="37" fontId="0" fillId="0" borderId="20" xfId="0" applyNumberFormat="1" applyBorder="1"/>
    <xf numFmtId="38" fontId="0" fillId="0" borderId="4" xfId="0" applyNumberFormat="1" applyBorder="1"/>
  </cellXfs>
  <cellStyles count="5">
    <cellStyle name="Comma" xfId="1" builtinId="3"/>
    <cellStyle name="Comma 2" xfId="3"/>
    <cellStyle name="Normal" xfId="0" builtinId="0"/>
    <cellStyle name="Normal 2" xfId="2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wells\Local%20Settings\Temporary%20Internet%20Files\OLK1\Purchase%20Orders%20Yearly%20Comparis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ce P.O.'s"/>
      <sheetName val="Service P.O.'s by year"/>
      <sheetName val="FY97 to present P.O.'S"/>
      <sheetName val="FY98 Blankets"/>
      <sheetName val="FY2001"/>
      <sheetName val="FY2000"/>
      <sheetName val="Sheet7"/>
      <sheetName val="Sheet8"/>
    </sheetNames>
    <sheetDataSet>
      <sheetData sheetId="0"/>
      <sheetData sheetId="1" refreshError="1">
        <row r="26">
          <cell r="E26">
            <v>19980</v>
          </cell>
        </row>
        <row r="28">
          <cell r="E28">
            <v>5210.1499999999996</v>
          </cell>
        </row>
        <row r="29">
          <cell r="E29">
            <v>17068.46</v>
          </cell>
        </row>
        <row r="32">
          <cell r="E32">
            <v>23427.73</v>
          </cell>
        </row>
        <row r="33">
          <cell r="E33">
            <v>1462.5</v>
          </cell>
        </row>
        <row r="34">
          <cell r="E34">
            <v>50496</v>
          </cell>
        </row>
        <row r="35">
          <cell r="E35">
            <v>11910.77</v>
          </cell>
        </row>
        <row r="36">
          <cell r="E36">
            <v>22960.880000000001</v>
          </cell>
        </row>
        <row r="37">
          <cell r="E37">
            <v>19047.23</v>
          </cell>
        </row>
        <row r="38">
          <cell r="E38">
            <v>9907.48</v>
          </cell>
        </row>
        <row r="39">
          <cell r="E39">
            <v>24020</v>
          </cell>
        </row>
        <row r="50">
          <cell r="E50">
            <v>13320</v>
          </cell>
        </row>
        <row r="51">
          <cell r="E51">
            <v>2989.05</v>
          </cell>
        </row>
        <row r="52">
          <cell r="E52">
            <v>83607.91</v>
          </cell>
        </row>
        <row r="53">
          <cell r="E53">
            <v>26225.88</v>
          </cell>
        </row>
        <row r="54">
          <cell r="E54">
            <v>431.2</v>
          </cell>
        </row>
        <row r="56">
          <cell r="E56">
            <v>6300</v>
          </cell>
        </row>
        <row r="57">
          <cell r="E57">
            <v>47581.33</v>
          </cell>
        </row>
        <row r="58">
          <cell r="E58">
            <v>4605</v>
          </cell>
        </row>
        <row r="59">
          <cell r="E59">
            <v>3646.14</v>
          </cell>
        </row>
        <row r="60">
          <cell r="E60">
            <v>56742.9</v>
          </cell>
        </row>
        <row r="61">
          <cell r="E61">
            <v>58911.98</v>
          </cell>
        </row>
        <row r="62">
          <cell r="E62">
            <v>20369.32</v>
          </cell>
        </row>
        <row r="63">
          <cell r="E63">
            <v>4117.67</v>
          </cell>
        </row>
        <row r="64">
          <cell r="E64">
            <v>24980</v>
          </cell>
        </row>
        <row r="74">
          <cell r="E74">
            <v>15310</v>
          </cell>
        </row>
        <row r="75">
          <cell r="E75">
            <v>2016.96</v>
          </cell>
        </row>
        <row r="76">
          <cell r="E76">
            <v>11698</v>
          </cell>
        </row>
        <row r="77">
          <cell r="E77">
            <v>9670.14</v>
          </cell>
        </row>
        <row r="78">
          <cell r="E78">
            <v>11171.05</v>
          </cell>
        </row>
        <row r="79">
          <cell r="E79">
            <v>24441.360000000001</v>
          </cell>
        </row>
        <row r="80">
          <cell r="E80">
            <v>2676</v>
          </cell>
        </row>
        <row r="81">
          <cell r="E81">
            <v>36838.44</v>
          </cell>
        </row>
        <row r="82">
          <cell r="E82">
            <v>41715.919999999998</v>
          </cell>
        </row>
        <row r="83">
          <cell r="E83">
            <v>3770.1500000000005</v>
          </cell>
        </row>
        <row r="84">
          <cell r="E84">
            <v>55086</v>
          </cell>
        </row>
        <row r="85">
          <cell r="E85">
            <v>17215</v>
          </cell>
        </row>
        <row r="86">
          <cell r="E86">
            <v>1836.03</v>
          </cell>
        </row>
        <row r="87">
          <cell r="E87">
            <v>36042.239999999998</v>
          </cell>
        </row>
        <row r="88">
          <cell r="E88">
            <v>25980</v>
          </cell>
        </row>
        <row r="95">
          <cell r="E95">
            <v>19030</v>
          </cell>
        </row>
        <row r="97">
          <cell r="E97">
            <v>2181.12</v>
          </cell>
        </row>
        <row r="98">
          <cell r="E98">
            <v>16589.669999999998</v>
          </cell>
        </row>
        <row r="99">
          <cell r="E99">
            <v>5311.43</v>
          </cell>
          <cell r="F99">
            <v>717.99</v>
          </cell>
        </row>
        <row r="100">
          <cell r="E100">
            <v>2718.22</v>
          </cell>
          <cell r="F100">
            <v>319</v>
          </cell>
        </row>
        <row r="101">
          <cell r="E101">
            <v>7887</v>
          </cell>
        </row>
        <row r="102">
          <cell r="E102">
            <v>14271.54</v>
          </cell>
          <cell r="F102">
            <v>2124.04</v>
          </cell>
        </row>
        <row r="103">
          <cell r="E103">
            <v>56888.5</v>
          </cell>
        </row>
        <row r="104">
          <cell r="E104">
            <v>47991.22</v>
          </cell>
        </row>
        <row r="105">
          <cell r="E105">
            <v>1023.01</v>
          </cell>
        </row>
        <row r="106">
          <cell r="E106">
            <v>47999</v>
          </cell>
        </row>
        <row r="107">
          <cell r="E107">
            <v>28435.48</v>
          </cell>
          <cell r="F107">
            <v>2702</v>
          </cell>
        </row>
        <row r="108">
          <cell r="E108">
            <v>14243</v>
          </cell>
          <cell r="F108">
            <v>7517.25</v>
          </cell>
        </row>
        <row r="115">
          <cell r="D115">
            <v>2500</v>
          </cell>
        </row>
        <row r="116">
          <cell r="D116">
            <v>15000</v>
          </cell>
        </row>
        <row r="117">
          <cell r="D117">
            <v>7000</v>
          </cell>
        </row>
        <row r="118">
          <cell r="D118">
            <v>677.34</v>
          </cell>
        </row>
        <row r="119">
          <cell r="D119">
            <v>7000</v>
          </cell>
        </row>
        <row r="120">
          <cell r="D120">
            <v>5000</v>
          </cell>
        </row>
        <row r="121">
          <cell r="D121">
            <v>8604</v>
          </cell>
        </row>
        <row r="122">
          <cell r="D122">
            <v>5000</v>
          </cell>
        </row>
        <row r="123">
          <cell r="D123">
            <v>15000</v>
          </cell>
        </row>
        <row r="124">
          <cell r="D124">
            <v>2400</v>
          </cell>
        </row>
        <row r="125">
          <cell r="D125">
            <v>652.79999999999995</v>
          </cell>
        </row>
        <row r="126">
          <cell r="D126">
            <v>822</v>
          </cell>
        </row>
        <row r="127">
          <cell r="D127">
            <v>662.56</v>
          </cell>
        </row>
        <row r="134">
          <cell r="D134">
            <v>11000</v>
          </cell>
        </row>
        <row r="135">
          <cell r="D135">
            <v>7335</v>
          </cell>
        </row>
        <row r="136">
          <cell r="D136">
            <v>12000</v>
          </cell>
        </row>
        <row r="137">
          <cell r="D137">
            <v>34231.199999999997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41"/>
  <sheetViews>
    <sheetView tabSelected="1" topLeftCell="A122" zoomScaleNormal="100" workbookViewId="0">
      <selection activeCell="S144" sqref="S144"/>
    </sheetView>
  </sheetViews>
  <sheetFormatPr defaultRowHeight="13.2" x14ac:dyDescent="0.25"/>
  <cols>
    <col min="1" max="1" width="25.21875" customWidth="1"/>
    <col min="2" max="2" width="31.33203125" customWidth="1"/>
    <col min="3" max="3" width="12.109375" hidden="1" customWidth="1"/>
    <col min="4" max="4" width="12.33203125" hidden="1" customWidth="1"/>
    <col min="5" max="5" width="12.109375" hidden="1" customWidth="1"/>
    <col min="6" max="6" width="12" hidden="1" customWidth="1"/>
    <col min="7" max="7" width="12.109375" hidden="1" customWidth="1"/>
    <col min="8" max="8" width="12.44140625" hidden="1" customWidth="1"/>
    <col min="9" max="9" width="12" hidden="1" customWidth="1"/>
    <col min="10" max="10" width="12.33203125" hidden="1" customWidth="1"/>
    <col min="11" max="11" width="12.109375" hidden="1" customWidth="1"/>
    <col min="12" max="12" width="12.6640625" hidden="1" customWidth="1"/>
    <col min="13" max="13" width="10" hidden="1" customWidth="1"/>
    <col min="14" max="14" width="12.33203125" hidden="1" customWidth="1"/>
    <col min="15" max="15" width="13.109375" bestFit="1" customWidth="1"/>
    <col min="16" max="16" width="12.44140625" bestFit="1" customWidth="1"/>
    <col min="17" max="17" width="10.33203125" customWidth="1"/>
    <col min="18" max="18" width="10.44140625" customWidth="1"/>
    <col min="19" max="19" width="11" customWidth="1"/>
  </cols>
  <sheetData>
    <row r="2" spans="1:19" x14ac:dyDescent="0.25">
      <c r="M2" s="52"/>
    </row>
    <row r="3" spans="1:19" ht="14.4" thickBot="1" x14ac:dyDescent="0.3">
      <c r="C3" s="10"/>
      <c r="D3" s="10"/>
      <c r="E3" s="10"/>
      <c r="F3" s="10"/>
      <c r="G3" s="11"/>
      <c r="I3" s="14"/>
      <c r="M3" s="51"/>
      <c r="P3" s="53"/>
    </row>
    <row r="4" spans="1:19" ht="14.4" thickBot="1" x14ac:dyDescent="0.3">
      <c r="A4" s="8" t="s">
        <v>0</v>
      </c>
      <c r="B4" s="8" t="s">
        <v>2</v>
      </c>
      <c r="C4" s="9" t="s">
        <v>7</v>
      </c>
      <c r="D4" s="9" t="s">
        <v>8</v>
      </c>
      <c r="E4" s="9" t="s">
        <v>9</v>
      </c>
      <c r="F4" s="9" t="s">
        <v>10</v>
      </c>
      <c r="G4" s="9" t="s">
        <v>11</v>
      </c>
      <c r="H4" s="12" t="s">
        <v>32</v>
      </c>
      <c r="I4" s="12" t="s">
        <v>33</v>
      </c>
      <c r="J4" s="12" t="s">
        <v>34</v>
      </c>
      <c r="K4" s="9" t="s">
        <v>45</v>
      </c>
      <c r="L4" s="12" t="s">
        <v>47</v>
      </c>
      <c r="M4" s="45" t="s">
        <v>71</v>
      </c>
      <c r="N4" s="45" t="s">
        <v>84</v>
      </c>
      <c r="O4" s="45" t="s">
        <v>85</v>
      </c>
      <c r="P4" s="45" t="s">
        <v>86</v>
      </c>
      <c r="Q4" s="60" t="s">
        <v>90</v>
      </c>
      <c r="R4" s="61" t="s">
        <v>91</v>
      </c>
      <c r="S4" s="62" t="s">
        <v>92</v>
      </c>
    </row>
    <row r="5" spans="1:19" ht="13.8" x14ac:dyDescent="0.25">
      <c r="A5" s="1"/>
      <c r="B5" s="5"/>
      <c r="C5" s="6"/>
      <c r="D5" s="6"/>
      <c r="E5" s="6"/>
      <c r="F5" s="6"/>
      <c r="G5" s="6"/>
      <c r="J5" s="2"/>
      <c r="N5" s="54"/>
      <c r="O5" s="54"/>
      <c r="P5" s="54"/>
    </row>
    <row r="6" spans="1:19" ht="13.8" x14ac:dyDescent="0.25">
      <c r="A6" s="5" t="s">
        <v>18</v>
      </c>
      <c r="B6" s="21" t="s">
        <v>26</v>
      </c>
      <c r="C6" s="6">
        <v>197624</v>
      </c>
      <c r="D6" s="6">
        <v>267103</v>
      </c>
      <c r="E6" s="6">
        <v>200000</v>
      </c>
      <c r="F6" s="6"/>
      <c r="G6" s="6"/>
      <c r="H6" s="4"/>
      <c r="I6" s="4"/>
      <c r="J6" s="6"/>
      <c r="N6" s="54">
        <f>308264.13+35358.35</f>
        <v>343622.48</v>
      </c>
      <c r="O6" s="54">
        <f>282168.92+18606.62</f>
        <v>300775.53999999998</v>
      </c>
      <c r="P6" s="54">
        <f>388849.77+6000-53775-311.79</f>
        <v>340762.98000000004</v>
      </c>
      <c r="Q6" s="66">
        <v>111577.67</v>
      </c>
      <c r="R6" s="54"/>
      <c r="S6" s="54"/>
    </row>
    <row r="7" spans="1:19" s="27" customFormat="1" x14ac:dyDescent="0.25">
      <c r="A7" s="63"/>
      <c r="B7" s="64" t="s">
        <v>27</v>
      </c>
      <c r="C7" s="25"/>
      <c r="D7" s="25"/>
      <c r="E7" s="25">
        <v>150000</v>
      </c>
      <c r="F7" s="25">
        <v>192000</v>
      </c>
      <c r="G7" s="25">
        <v>200767.3</v>
      </c>
      <c r="H7" s="25">
        <v>198300</v>
      </c>
      <c r="I7" s="25">
        <v>219343.6</v>
      </c>
      <c r="J7" s="25">
        <f>182834.96+37746.82</f>
        <v>220581.78</v>
      </c>
      <c r="K7" s="23">
        <f>161475.06+29791.15+44854.87</f>
        <v>236121.08</v>
      </c>
      <c r="L7" s="23">
        <f>122798.72+87500.28</f>
        <v>210299</v>
      </c>
      <c r="M7" s="23">
        <f>172076.97+8363.65</f>
        <v>180440.62</v>
      </c>
      <c r="N7" s="55"/>
      <c r="O7" s="55"/>
      <c r="P7" s="55"/>
      <c r="R7" s="65"/>
      <c r="S7" s="65"/>
    </row>
    <row r="8" spans="1:19" x14ac:dyDescent="0.25">
      <c r="A8" s="5"/>
      <c r="B8" s="64" t="s">
        <v>93</v>
      </c>
      <c r="C8" s="7"/>
      <c r="D8" s="7"/>
      <c r="E8" s="7"/>
      <c r="F8" s="7"/>
      <c r="G8" s="7"/>
      <c r="H8" s="7"/>
      <c r="I8" s="7"/>
      <c r="J8" s="7"/>
      <c r="K8" s="3"/>
      <c r="L8" s="3"/>
      <c r="M8" s="3"/>
      <c r="N8" s="56"/>
      <c r="O8" s="56"/>
      <c r="P8" s="56"/>
      <c r="Q8" s="56">
        <f>160347.6-738.12+20000-66.62</f>
        <v>179542.86000000002</v>
      </c>
      <c r="R8" s="69">
        <f>290000</f>
        <v>290000</v>
      </c>
      <c r="S8" s="69">
        <f>288835.89+16854.21</f>
        <v>305690.10000000003</v>
      </c>
    </row>
    <row r="9" spans="1:19" x14ac:dyDescent="0.25">
      <c r="A9" s="5" t="s">
        <v>17</v>
      </c>
      <c r="B9" s="21"/>
      <c r="C9" s="6">
        <f t="shared" ref="C9:L9" si="0">SUM(C6:C8)</f>
        <v>197624</v>
      </c>
      <c r="D9" s="6">
        <f t="shared" si="0"/>
        <v>267103</v>
      </c>
      <c r="E9" s="6">
        <f t="shared" si="0"/>
        <v>350000</v>
      </c>
      <c r="F9" s="6">
        <f t="shared" si="0"/>
        <v>192000</v>
      </c>
      <c r="G9" s="6">
        <f t="shared" si="0"/>
        <v>200767.3</v>
      </c>
      <c r="H9" s="6">
        <f t="shared" si="0"/>
        <v>198300</v>
      </c>
      <c r="I9" s="6">
        <f t="shared" si="0"/>
        <v>219343.6</v>
      </c>
      <c r="J9" s="6">
        <f t="shared" si="0"/>
        <v>220581.78</v>
      </c>
      <c r="K9" s="6">
        <f t="shared" si="0"/>
        <v>236121.08</v>
      </c>
      <c r="L9" s="6">
        <f t="shared" si="0"/>
        <v>210299</v>
      </c>
      <c r="M9" s="6">
        <f>SUM(M6:M8)</f>
        <v>180440.62</v>
      </c>
      <c r="N9" s="6">
        <f t="shared" ref="N9:S9" si="1">SUM(N6:N8)</f>
        <v>343622.48</v>
      </c>
      <c r="O9" s="6">
        <f t="shared" si="1"/>
        <v>300775.53999999998</v>
      </c>
      <c r="P9" s="6">
        <f t="shared" si="1"/>
        <v>340762.98000000004</v>
      </c>
      <c r="Q9" s="6">
        <f t="shared" si="1"/>
        <v>291120.53000000003</v>
      </c>
      <c r="R9" s="6">
        <f t="shared" si="1"/>
        <v>290000</v>
      </c>
      <c r="S9" s="6">
        <f t="shared" si="1"/>
        <v>305690.10000000003</v>
      </c>
    </row>
    <row r="10" spans="1:19" ht="13.8" x14ac:dyDescent="0.25">
      <c r="A10" s="5"/>
      <c r="B10" s="21"/>
      <c r="C10" s="6"/>
      <c r="D10" s="6"/>
      <c r="E10" s="6"/>
      <c r="F10" s="6"/>
      <c r="G10" s="6"/>
      <c r="H10" s="4"/>
      <c r="I10" s="4"/>
      <c r="J10" s="6"/>
      <c r="K10" s="2"/>
      <c r="M10" s="2"/>
      <c r="N10" s="54"/>
      <c r="O10" s="54"/>
      <c r="P10" s="54"/>
      <c r="Q10" s="66"/>
      <c r="R10" s="66"/>
      <c r="S10" s="66"/>
    </row>
    <row r="11" spans="1:19" x14ac:dyDescent="0.25">
      <c r="A11" s="5" t="s">
        <v>76</v>
      </c>
      <c r="B11" s="21" t="s">
        <v>31</v>
      </c>
      <c r="C11" s="6">
        <v>398719</v>
      </c>
      <c r="D11" s="6">
        <v>408366</v>
      </c>
      <c r="E11" s="6">
        <v>425614</v>
      </c>
      <c r="F11" s="6">
        <v>430886</v>
      </c>
      <c r="G11" s="6">
        <v>436758</v>
      </c>
      <c r="H11" s="6">
        <v>496202.2</v>
      </c>
      <c r="I11" s="6">
        <v>47073.4</v>
      </c>
      <c r="J11" s="6"/>
      <c r="K11" s="6"/>
      <c r="L11" s="5"/>
      <c r="M11" s="2"/>
      <c r="N11" s="54"/>
      <c r="O11" s="54"/>
      <c r="P11" s="54"/>
      <c r="Q11" s="66"/>
      <c r="R11" s="66"/>
      <c r="S11" s="66"/>
    </row>
    <row r="12" spans="1:19" x14ac:dyDescent="0.25">
      <c r="A12" s="5"/>
      <c r="B12" s="21" t="s">
        <v>35</v>
      </c>
      <c r="C12" s="7"/>
      <c r="D12" s="7"/>
      <c r="E12" s="7"/>
      <c r="F12" s="7"/>
      <c r="G12" s="7"/>
      <c r="H12" s="7"/>
      <c r="I12" s="7">
        <v>370333</v>
      </c>
      <c r="J12" s="7">
        <v>443018.08</v>
      </c>
      <c r="K12" s="7">
        <v>458596</v>
      </c>
      <c r="L12" s="7">
        <f>468628</f>
        <v>468628</v>
      </c>
      <c r="M12" s="3">
        <f>438141.47+88465.72</f>
        <v>526607.18999999994</v>
      </c>
      <c r="N12" s="56">
        <f>451458.22+119149.5+16457</f>
        <v>587064.72</v>
      </c>
      <c r="O12" s="56">
        <f>409336.14+3977+92771.86+12480+4160.5</f>
        <v>522725.5</v>
      </c>
      <c r="P12" s="56">
        <f>124640+373920-63564.2</f>
        <v>434995.8</v>
      </c>
      <c r="Q12" s="69">
        <f>475499-28327.02</f>
        <v>447171.98</v>
      </c>
      <c r="R12" s="69">
        <f>434996-27177.27</f>
        <v>407818.73</v>
      </c>
      <c r="S12" s="69">
        <f>345872.66+42225.66</f>
        <v>388098.31999999995</v>
      </c>
    </row>
    <row r="13" spans="1:19" x14ac:dyDescent="0.25">
      <c r="A13" s="5"/>
      <c r="B13" s="21"/>
      <c r="C13" s="6">
        <f t="shared" ref="C13:H13" si="2">SUM(C11:C12)</f>
        <v>398719</v>
      </c>
      <c r="D13" s="6">
        <f t="shared" si="2"/>
        <v>408366</v>
      </c>
      <c r="E13" s="6">
        <f t="shared" si="2"/>
        <v>425614</v>
      </c>
      <c r="F13" s="6">
        <f t="shared" si="2"/>
        <v>430886</v>
      </c>
      <c r="G13" s="6">
        <f t="shared" si="2"/>
        <v>436758</v>
      </c>
      <c r="H13" s="6">
        <f t="shared" si="2"/>
        <v>496202.2</v>
      </c>
      <c r="I13" s="6">
        <f>SUM(I11:I12)</f>
        <v>417406.4</v>
      </c>
      <c r="J13" s="6">
        <f>SUM(J11:J12)</f>
        <v>443018.08</v>
      </c>
      <c r="K13" s="6">
        <f>SUM(K11:K12)</f>
        <v>458596</v>
      </c>
      <c r="L13" s="6">
        <f>SUM(L11:L12)</f>
        <v>468628</v>
      </c>
      <c r="M13" s="6">
        <f>SUM(M11:M12)</f>
        <v>526607.18999999994</v>
      </c>
      <c r="N13" s="6">
        <f t="shared" ref="N13:S13" si="3">SUM(N11:N12)</f>
        <v>587064.72</v>
      </c>
      <c r="O13" s="6">
        <f t="shared" si="3"/>
        <v>522725.5</v>
      </c>
      <c r="P13" s="6">
        <f t="shared" si="3"/>
        <v>434995.8</v>
      </c>
      <c r="Q13" s="6">
        <f t="shared" si="3"/>
        <v>447171.98</v>
      </c>
      <c r="R13" s="6">
        <f t="shared" si="3"/>
        <v>407818.73</v>
      </c>
      <c r="S13" s="6">
        <f t="shared" si="3"/>
        <v>388098.31999999995</v>
      </c>
    </row>
    <row r="14" spans="1:19" x14ac:dyDescent="0.25">
      <c r="A14" s="5"/>
      <c r="B14" s="21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54"/>
      <c r="O14" s="54"/>
      <c r="P14" s="54"/>
      <c r="Q14" s="66"/>
      <c r="R14" s="66"/>
      <c r="S14" s="66"/>
    </row>
    <row r="15" spans="1:19" x14ac:dyDescent="0.25">
      <c r="A15" s="21" t="s">
        <v>73</v>
      </c>
      <c r="B15" s="21" t="s">
        <v>74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>
        <f>93987.28+41647.46</f>
        <v>135634.74</v>
      </c>
      <c r="N15" s="54">
        <f>159031.51+72547.95+2375</f>
        <v>233954.46000000002</v>
      </c>
      <c r="O15" s="54">
        <f>146940.77+59641.23+2445</f>
        <v>209027</v>
      </c>
      <c r="P15" s="54">
        <f>100947.42+165273.81</f>
        <v>266221.23</v>
      </c>
      <c r="Q15" s="66">
        <f>206580-7110.79</f>
        <v>199469.21</v>
      </c>
      <c r="R15" s="66">
        <f>199469-49395.87</f>
        <v>150073.13</v>
      </c>
      <c r="S15" s="66">
        <f>125869.79+62388.21</f>
        <v>188258</v>
      </c>
    </row>
    <row r="16" spans="1:19" x14ac:dyDescent="0.25">
      <c r="A16" s="21"/>
      <c r="B16" s="21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54"/>
      <c r="O16" s="54"/>
      <c r="P16" s="54"/>
      <c r="Q16" s="66"/>
      <c r="R16" s="66"/>
      <c r="S16" s="66"/>
    </row>
    <row r="17" spans="1:19" x14ac:dyDescent="0.25">
      <c r="A17" s="21" t="s">
        <v>94</v>
      </c>
      <c r="B17" s="21" t="s">
        <v>35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54"/>
      <c r="O17" s="54"/>
      <c r="P17" s="54"/>
      <c r="Q17" s="66">
        <f>12415.08-7415.08</f>
        <v>5000</v>
      </c>
      <c r="R17" s="66">
        <f>174000-29381.5</f>
        <v>144618.5</v>
      </c>
      <c r="S17" s="66">
        <f>131227.84+59424.16</f>
        <v>190652</v>
      </c>
    </row>
    <row r="18" spans="1:19" ht="13.8" x14ac:dyDescent="0.25">
      <c r="B18" s="21"/>
      <c r="C18" s="13"/>
      <c r="D18" s="13"/>
      <c r="E18" s="13"/>
      <c r="F18" s="13"/>
      <c r="G18" s="13"/>
      <c r="H18" s="13"/>
      <c r="I18" s="13"/>
      <c r="J18" s="13"/>
      <c r="K18" s="13"/>
      <c r="M18" s="2"/>
      <c r="N18" s="54"/>
      <c r="O18" s="54"/>
      <c r="P18" s="54"/>
      <c r="Q18" s="66"/>
      <c r="R18" s="66"/>
      <c r="S18" s="66"/>
    </row>
    <row r="19" spans="1:19" ht="13.8" x14ac:dyDescent="0.25">
      <c r="A19" s="5" t="s">
        <v>48</v>
      </c>
      <c r="B19" s="47" t="s">
        <v>72</v>
      </c>
      <c r="C19" s="13"/>
      <c r="D19" s="13"/>
      <c r="E19" s="13"/>
      <c r="F19" s="13"/>
      <c r="G19" s="13"/>
      <c r="H19" s="13"/>
      <c r="I19" s="13"/>
      <c r="J19" s="13"/>
      <c r="K19" s="13"/>
      <c r="L19" s="2">
        <v>38475</v>
      </c>
      <c r="M19" s="2"/>
      <c r="N19" s="54"/>
      <c r="O19" s="54"/>
      <c r="P19" s="54"/>
      <c r="Q19" s="66"/>
      <c r="R19" s="66"/>
      <c r="S19" s="66"/>
    </row>
    <row r="20" spans="1:19" ht="13.8" x14ac:dyDescent="0.25">
      <c r="B20" s="5" t="s">
        <v>75</v>
      </c>
      <c r="C20" s="13"/>
      <c r="D20" s="13"/>
      <c r="E20" s="13"/>
      <c r="F20" s="13"/>
      <c r="G20" s="13"/>
      <c r="H20" s="13"/>
      <c r="I20" s="13"/>
      <c r="J20" s="13"/>
      <c r="K20" s="13"/>
      <c r="L20" s="23">
        <v>5000</v>
      </c>
      <c r="M20" s="23">
        <f>5000+10712</f>
        <v>15712</v>
      </c>
      <c r="N20" s="54"/>
      <c r="O20" s="54"/>
      <c r="P20" s="54"/>
      <c r="Q20" s="66"/>
      <c r="R20" s="66"/>
      <c r="S20" s="66"/>
    </row>
    <row r="21" spans="1:19" ht="13.8" x14ac:dyDescent="0.25">
      <c r="B21" s="5" t="s">
        <v>82</v>
      </c>
      <c r="C21" s="13"/>
      <c r="D21" s="13"/>
      <c r="E21" s="13"/>
      <c r="F21" s="13"/>
      <c r="G21" s="13"/>
      <c r="H21" s="13"/>
      <c r="I21" s="13"/>
      <c r="J21" s="13"/>
      <c r="K21" s="13"/>
      <c r="L21" s="23"/>
      <c r="M21" s="23">
        <v>20200</v>
      </c>
      <c r="N21" s="54">
        <v>26600</v>
      </c>
      <c r="O21" s="54">
        <v>20000</v>
      </c>
      <c r="P21" s="54">
        <f>9062.5+20527.5</f>
        <v>29590</v>
      </c>
      <c r="Q21" s="66"/>
      <c r="R21" s="66"/>
      <c r="S21" s="66"/>
    </row>
    <row r="22" spans="1:19" ht="13.8" x14ac:dyDescent="0.25">
      <c r="B22" s="5" t="s">
        <v>95</v>
      </c>
      <c r="C22" s="13"/>
      <c r="D22" s="13"/>
      <c r="E22" s="13"/>
      <c r="F22" s="13"/>
      <c r="G22" s="13"/>
      <c r="H22" s="13"/>
      <c r="I22" s="13"/>
      <c r="J22" s="13"/>
      <c r="K22" s="13"/>
      <c r="L22" s="23"/>
      <c r="M22" s="23"/>
      <c r="N22" s="54"/>
      <c r="O22" s="54"/>
      <c r="P22" s="54"/>
      <c r="Q22" s="66">
        <f>11064.2+13154.05+23625.35</f>
        <v>47843.6</v>
      </c>
      <c r="R22" s="66">
        <v>0</v>
      </c>
      <c r="S22" s="66">
        <v>0</v>
      </c>
    </row>
    <row r="23" spans="1:19" ht="13.8" x14ac:dyDescent="0.25">
      <c r="B23" s="5" t="s">
        <v>101</v>
      </c>
      <c r="C23" s="13"/>
      <c r="D23" s="13"/>
      <c r="E23" s="13"/>
      <c r="F23" s="13"/>
      <c r="G23" s="13"/>
      <c r="H23" s="13"/>
      <c r="I23" s="13"/>
      <c r="J23" s="13"/>
      <c r="K23" s="13"/>
      <c r="L23" s="23"/>
      <c r="M23" s="23"/>
      <c r="N23" s="54"/>
      <c r="O23" s="54"/>
      <c r="P23" s="57">
        <f>3219.3+2878.12</f>
        <v>6097.42</v>
      </c>
      <c r="Q23" s="66">
        <f>6095.88+158.71+7946.12+2009+2560.32</f>
        <v>18770.03</v>
      </c>
      <c r="R23" s="66"/>
      <c r="S23" s="66"/>
    </row>
    <row r="24" spans="1:19" ht="13.8" x14ac:dyDescent="0.25">
      <c r="B24" s="5" t="s">
        <v>102</v>
      </c>
      <c r="C24" s="13"/>
      <c r="D24" s="13"/>
      <c r="E24" s="13"/>
      <c r="F24" s="13"/>
      <c r="G24" s="13"/>
      <c r="H24" s="13"/>
      <c r="I24" s="13"/>
      <c r="J24" s="13"/>
      <c r="K24" s="13"/>
      <c r="L24" s="23"/>
      <c r="M24" s="23"/>
      <c r="N24" s="54"/>
      <c r="O24" s="54"/>
      <c r="P24" s="57">
        <f>2053.69+2031.96+2009+2001.21+2031.55+2053.28</f>
        <v>12180.69</v>
      </c>
      <c r="Q24" s="66">
        <f>1789.37+1758.74+2075.61+1787.26+1738.32</f>
        <v>9149.2999999999993</v>
      </c>
      <c r="R24" s="66"/>
      <c r="S24" s="66">
        <f>2746.5+2778.35</f>
        <v>5524.85</v>
      </c>
    </row>
    <row r="25" spans="1:19" ht="13.8" x14ac:dyDescent="0.25">
      <c r="B25" s="5" t="s">
        <v>100</v>
      </c>
      <c r="C25" s="13"/>
      <c r="D25" s="13"/>
      <c r="E25" s="13"/>
      <c r="F25" s="13"/>
      <c r="G25" s="13"/>
      <c r="H25" s="13"/>
      <c r="I25" s="13"/>
      <c r="J25" s="13"/>
      <c r="K25" s="13"/>
      <c r="L25" s="3"/>
      <c r="M25" s="3"/>
      <c r="N25" s="56"/>
      <c r="O25" s="56"/>
      <c r="P25" s="56"/>
      <c r="Q25" s="69"/>
      <c r="R25" s="69">
        <f>3902.58+3674.86+2936.89+3039.46+2929.23+2940.43+2908.59</f>
        <v>22332.04</v>
      </c>
      <c r="S25" s="69"/>
    </row>
    <row r="26" spans="1:19" ht="13.8" x14ac:dyDescent="0.25">
      <c r="C26" s="13"/>
      <c r="D26" s="13"/>
      <c r="E26" s="13"/>
      <c r="F26" s="13"/>
      <c r="G26" s="13"/>
      <c r="H26" s="13"/>
      <c r="I26" s="13"/>
      <c r="J26" s="13"/>
      <c r="K26" s="13"/>
      <c r="L26" s="2">
        <f>SUM(L19:L25)</f>
        <v>43475</v>
      </c>
      <c r="M26" s="2">
        <f t="shared" ref="M26:S26" si="4">SUM(M19:M25)</f>
        <v>35912</v>
      </c>
      <c r="N26" s="2">
        <f t="shared" si="4"/>
        <v>26600</v>
      </c>
      <c r="O26" s="2">
        <f t="shared" si="4"/>
        <v>20000</v>
      </c>
      <c r="P26" s="2">
        <f t="shared" si="4"/>
        <v>47868.11</v>
      </c>
      <c r="Q26" s="2">
        <f t="shared" si="4"/>
        <v>75762.930000000008</v>
      </c>
      <c r="R26" s="2">
        <f t="shared" si="4"/>
        <v>22332.04</v>
      </c>
      <c r="S26" s="2">
        <f t="shared" si="4"/>
        <v>5524.85</v>
      </c>
    </row>
    <row r="27" spans="1:19" ht="13.8" x14ac:dyDescent="0.25">
      <c r="A27" s="5"/>
      <c r="B27" s="21"/>
      <c r="C27" s="13"/>
      <c r="D27" s="13"/>
      <c r="E27" s="13"/>
      <c r="F27" s="13"/>
      <c r="G27" s="13"/>
      <c r="H27" s="13"/>
      <c r="I27" s="13"/>
      <c r="J27" s="6"/>
      <c r="K27" s="2"/>
      <c r="M27" s="2"/>
      <c r="N27" s="54"/>
      <c r="O27" s="54"/>
      <c r="P27" s="54"/>
      <c r="Q27" s="66"/>
      <c r="R27" s="66"/>
      <c r="S27" s="66"/>
    </row>
    <row r="28" spans="1:19" x14ac:dyDescent="0.25">
      <c r="A28" s="5"/>
      <c r="N28" s="54"/>
      <c r="O28" s="54"/>
      <c r="P28" s="54"/>
      <c r="Q28" s="66"/>
      <c r="R28" s="66"/>
      <c r="S28" s="66"/>
    </row>
    <row r="29" spans="1:19" ht="13.8" x14ac:dyDescent="0.25">
      <c r="A29" s="5" t="s">
        <v>19</v>
      </c>
      <c r="B29" s="21" t="s">
        <v>30</v>
      </c>
      <c r="C29" s="6">
        <v>25280</v>
      </c>
      <c r="D29" s="6">
        <v>25280</v>
      </c>
      <c r="E29" s="6"/>
      <c r="F29" s="6"/>
      <c r="G29" s="6"/>
      <c r="H29" s="13"/>
      <c r="I29" s="13"/>
      <c r="J29" s="6"/>
      <c r="K29" s="2"/>
      <c r="M29" s="2"/>
      <c r="N29" s="54"/>
      <c r="O29" s="54"/>
      <c r="P29" s="54"/>
      <c r="Q29" s="66"/>
      <c r="R29" s="66"/>
      <c r="S29" s="66"/>
    </row>
    <row r="30" spans="1:19" x14ac:dyDescent="0.25">
      <c r="A30" s="5"/>
      <c r="B30" s="21" t="s">
        <v>20</v>
      </c>
      <c r="C30" s="6">
        <f>373258.84</f>
        <v>373258.84</v>
      </c>
      <c r="D30" s="6">
        <v>202169.48</v>
      </c>
      <c r="E30" s="6">
        <v>209160.8</v>
      </c>
      <c r="F30" s="6">
        <f>76500+29750</f>
        <v>106250</v>
      </c>
      <c r="G30" s="6"/>
      <c r="H30" s="2"/>
      <c r="I30" s="2"/>
      <c r="J30" s="6"/>
      <c r="K30" s="2"/>
      <c r="M30" s="2"/>
      <c r="N30" s="54"/>
      <c r="O30" s="54"/>
      <c r="P30" s="54"/>
      <c r="Q30" s="66"/>
      <c r="R30" s="66"/>
      <c r="S30" s="66"/>
    </row>
    <row r="31" spans="1:19" x14ac:dyDescent="0.25">
      <c r="A31" s="5"/>
      <c r="B31" s="21" t="s">
        <v>21</v>
      </c>
      <c r="C31" s="6">
        <v>28000</v>
      </c>
      <c r="D31" s="6">
        <v>28000</v>
      </c>
      <c r="E31" s="6">
        <v>28120.36</v>
      </c>
      <c r="F31" s="6">
        <v>15966.13</v>
      </c>
      <c r="G31" s="6"/>
      <c r="H31" s="2"/>
      <c r="I31" s="2"/>
      <c r="J31" s="6"/>
      <c r="K31" s="2"/>
      <c r="M31" s="2"/>
      <c r="N31" s="54"/>
      <c r="O31" s="54"/>
      <c r="P31" s="54"/>
      <c r="Q31" s="66"/>
      <c r="R31" s="66"/>
      <c r="S31" s="66"/>
    </row>
    <row r="32" spans="1:19" x14ac:dyDescent="0.25">
      <c r="A32" s="5"/>
      <c r="B32" s="21" t="s">
        <v>22</v>
      </c>
      <c r="C32" s="6">
        <v>20000</v>
      </c>
      <c r="D32" s="6">
        <v>20000</v>
      </c>
      <c r="E32" s="6"/>
      <c r="F32" s="6"/>
      <c r="G32" s="6"/>
      <c r="H32" s="2"/>
      <c r="I32" s="2"/>
      <c r="J32" s="6"/>
      <c r="K32" s="2"/>
      <c r="M32" s="2"/>
      <c r="N32" s="54"/>
      <c r="O32" s="54"/>
      <c r="P32" s="54"/>
      <c r="Q32" s="66"/>
      <c r="R32" s="66"/>
      <c r="S32" s="66"/>
    </row>
    <row r="33" spans="1:19" x14ac:dyDescent="0.25">
      <c r="A33" s="5"/>
      <c r="B33" s="21" t="s">
        <v>23</v>
      </c>
      <c r="C33" s="6"/>
      <c r="D33" s="6"/>
      <c r="E33" s="6">
        <v>41468.559999999998</v>
      </c>
      <c r="F33" s="6">
        <f>10000+297750+116023.5</f>
        <v>423773.5</v>
      </c>
      <c r="G33" s="2">
        <v>769554</v>
      </c>
      <c r="H33" s="2">
        <v>528012.94999999995</v>
      </c>
      <c r="I33" s="2">
        <v>704146.96</v>
      </c>
      <c r="J33" s="6">
        <v>495151.14</v>
      </c>
      <c r="K33" s="2">
        <f>356528.71+22003.19+156812.86</f>
        <v>535344.76</v>
      </c>
      <c r="L33" s="2">
        <f>412318+44111.71+128652.3</f>
        <v>585082.01</v>
      </c>
      <c r="M33" s="2">
        <f>365176.22+102823.78+101938.88+21850.94</f>
        <v>591789.81999999995</v>
      </c>
      <c r="N33" s="55">
        <f>102823.78+36593.69+21850.94+6000</f>
        <v>167268.41</v>
      </c>
      <c r="O33" s="54"/>
      <c r="P33" s="54"/>
      <c r="Q33" s="66"/>
      <c r="R33" s="66"/>
      <c r="S33" s="66"/>
    </row>
    <row r="34" spans="1:19" x14ac:dyDescent="0.25">
      <c r="A34" s="5"/>
      <c r="B34" s="21" t="s">
        <v>24</v>
      </c>
      <c r="C34" s="6"/>
      <c r="D34" s="6"/>
      <c r="E34" s="6">
        <v>17819.439999999999</v>
      </c>
      <c r="F34" s="6"/>
      <c r="G34" s="6"/>
      <c r="H34" s="2"/>
      <c r="I34" s="2"/>
      <c r="J34" s="6"/>
      <c r="K34" s="2"/>
      <c r="M34" s="2"/>
      <c r="N34" s="54"/>
      <c r="O34" s="54"/>
      <c r="P34" s="54"/>
      <c r="Q34" s="66"/>
      <c r="R34" s="66"/>
      <c r="S34" s="66"/>
    </row>
    <row r="35" spans="1:19" x14ac:dyDescent="0.25">
      <c r="A35" s="5"/>
      <c r="B35" s="21" t="s">
        <v>25</v>
      </c>
      <c r="C35" s="25"/>
      <c r="D35" s="25"/>
      <c r="E35" s="25">
        <v>15435</v>
      </c>
      <c r="F35" s="25"/>
      <c r="G35" s="25">
        <v>26962.1</v>
      </c>
      <c r="H35" s="23"/>
      <c r="I35" s="23"/>
      <c r="J35" s="25"/>
      <c r="K35" s="23"/>
      <c r="L35" s="27"/>
      <c r="M35" s="23"/>
      <c r="N35" s="54"/>
      <c r="O35" s="54"/>
      <c r="P35" s="54"/>
      <c r="Q35" s="66"/>
      <c r="R35" s="66"/>
      <c r="S35" s="66"/>
    </row>
    <row r="36" spans="1:19" x14ac:dyDescent="0.25">
      <c r="A36" s="5"/>
      <c r="B36" s="21" t="s">
        <v>83</v>
      </c>
      <c r="C36" s="7"/>
      <c r="D36" s="7"/>
      <c r="E36" s="7"/>
      <c r="F36" s="7"/>
      <c r="G36" s="7"/>
      <c r="H36" s="3"/>
      <c r="I36" s="3"/>
      <c r="J36" s="7"/>
      <c r="K36" s="3"/>
      <c r="L36" s="26"/>
      <c r="M36" s="3"/>
      <c r="N36" s="56">
        <f>458767.87+34686+38274.5+58344.01-167268.4</f>
        <v>422803.98</v>
      </c>
      <c r="O36" s="56">
        <f>355754.64+79360.56+168688.48+32343.72</f>
        <v>636147.4</v>
      </c>
      <c r="P36" s="56">
        <f>226484.97+311079.63+32091.58+155252.14</f>
        <v>724908.32</v>
      </c>
      <c r="Q36" s="69">
        <f>470414.58+3837.06+41067.01+127121.61</f>
        <v>642440.26</v>
      </c>
      <c r="R36" s="69">
        <f>486542.48+79553+55717.9</f>
        <v>621813.38</v>
      </c>
      <c r="S36" s="78">
        <f>515508+51466.17</f>
        <v>566974.17000000004</v>
      </c>
    </row>
    <row r="37" spans="1:19" x14ac:dyDescent="0.25">
      <c r="A37" s="5" t="s">
        <v>28</v>
      </c>
      <c r="B37" s="21"/>
      <c r="C37" s="6">
        <f>SUM(C29:C36)</f>
        <v>446538.84</v>
      </c>
      <c r="D37" s="6">
        <f t="shared" ref="D37:S37" si="5">SUM(D29:D36)</f>
        <v>275449.48</v>
      </c>
      <c r="E37" s="6">
        <f t="shared" si="5"/>
        <v>312004.15999999997</v>
      </c>
      <c r="F37" s="6">
        <f t="shared" si="5"/>
        <v>545989.63</v>
      </c>
      <c r="G37" s="6">
        <f t="shared" si="5"/>
        <v>796516.1</v>
      </c>
      <c r="H37" s="6">
        <f t="shared" si="5"/>
        <v>528012.94999999995</v>
      </c>
      <c r="I37" s="6">
        <f t="shared" si="5"/>
        <v>704146.96</v>
      </c>
      <c r="J37" s="6">
        <f t="shared" si="5"/>
        <v>495151.14</v>
      </c>
      <c r="K37" s="6">
        <f t="shared" si="5"/>
        <v>535344.76</v>
      </c>
      <c r="L37" s="6">
        <f t="shared" si="5"/>
        <v>585082.01</v>
      </c>
      <c r="M37" s="6">
        <f t="shared" si="5"/>
        <v>591789.81999999995</v>
      </c>
      <c r="N37" s="57">
        <f t="shared" si="5"/>
        <v>590072.39</v>
      </c>
      <c r="O37" s="57">
        <f t="shared" si="5"/>
        <v>636147.4</v>
      </c>
      <c r="P37" s="57">
        <f t="shared" si="5"/>
        <v>724908.32</v>
      </c>
      <c r="Q37" s="57">
        <f t="shared" si="5"/>
        <v>642440.26</v>
      </c>
      <c r="R37" s="57">
        <f t="shared" si="5"/>
        <v>621813.38</v>
      </c>
      <c r="S37" s="57">
        <f t="shared" si="5"/>
        <v>566974.17000000004</v>
      </c>
    </row>
    <row r="38" spans="1:19" s="5" customFormat="1" ht="13.8" x14ac:dyDescent="0.25">
      <c r="A38" s="1"/>
      <c r="B38" s="21"/>
      <c r="C38" s="6"/>
      <c r="D38" s="6"/>
      <c r="E38" s="6"/>
      <c r="F38" s="6"/>
      <c r="G38" s="6"/>
      <c r="H38" s="2"/>
      <c r="I38" s="2"/>
      <c r="J38" s="6"/>
      <c r="K38" s="2"/>
      <c r="L38"/>
      <c r="M38" s="2"/>
      <c r="N38" s="57"/>
      <c r="O38" s="57"/>
      <c r="P38" s="57"/>
      <c r="Q38" s="67"/>
      <c r="R38" s="67"/>
      <c r="S38" s="67"/>
    </row>
    <row r="39" spans="1:19" x14ac:dyDescent="0.25">
      <c r="A39" s="5"/>
      <c r="B39" s="21"/>
      <c r="C39" s="5"/>
      <c r="D39" s="5"/>
      <c r="E39" s="5"/>
      <c r="F39" s="5"/>
      <c r="G39" s="5"/>
      <c r="H39" s="6"/>
      <c r="I39" s="6"/>
      <c r="J39" s="6"/>
      <c r="K39" s="6"/>
      <c r="L39" s="6"/>
      <c r="M39" s="6"/>
      <c r="N39" s="54"/>
      <c r="O39" s="54"/>
      <c r="P39" s="54"/>
      <c r="Q39" s="66"/>
      <c r="R39" s="66"/>
      <c r="S39" s="66"/>
    </row>
    <row r="40" spans="1:19" x14ac:dyDescent="0.25">
      <c r="A40" t="s">
        <v>1</v>
      </c>
      <c r="B40" s="22" t="s">
        <v>6</v>
      </c>
      <c r="C40" s="2">
        <f>'[1]Service P.O.''s by year'!$E$28</f>
        <v>5210.1499999999996</v>
      </c>
      <c r="D40" s="2">
        <f>'[1]Service P.O.''s by year'!$E$51+'[1]Service P.O.''s by year'!$E$52</f>
        <v>86596.96</v>
      </c>
      <c r="E40" s="2">
        <f>'[1]Service P.O.''s by year'!$E$75+'[1]Service P.O.''s by year'!$E$76</f>
        <v>13714.96</v>
      </c>
      <c r="F40" s="2">
        <f>'[1]Service P.O.''s by year'!$E$97+'[1]Service P.O.''s by year'!$E$98</f>
        <v>18770.789999999997</v>
      </c>
      <c r="G40" s="2">
        <f>'[1]Service P.O.''s by year'!$D$115+'[1]Service P.O.''s by year'!$D$116</f>
        <v>17500</v>
      </c>
      <c r="H40" s="2">
        <v>17500</v>
      </c>
      <c r="I40" s="16">
        <v>12500</v>
      </c>
      <c r="J40" s="6">
        <f>17343.3+1713.9</f>
        <v>19057.2</v>
      </c>
      <c r="K40" s="6">
        <f>17343.3+3000</f>
        <v>20343.3</v>
      </c>
      <c r="L40" s="2">
        <v>7000</v>
      </c>
      <c r="M40" s="2">
        <f>19365+19946</f>
        <v>39311</v>
      </c>
      <c r="N40" s="54"/>
      <c r="O40" s="54"/>
      <c r="P40" s="54"/>
      <c r="Q40" s="66"/>
      <c r="R40" s="66"/>
      <c r="S40" s="66"/>
    </row>
    <row r="41" spans="1:19" x14ac:dyDescent="0.25">
      <c r="B41" s="22" t="s">
        <v>5</v>
      </c>
      <c r="C41" s="2">
        <v>7500</v>
      </c>
      <c r="D41" s="2">
        <f>'[1]Service P.O.''s by year'!$E$56</f>
        <v>6300</v>
      </c>
      <c r="E41" s="2">
        <f>'[1]Service P.O.''s by year'!$E$79+'[1]Service P.O.''s by year'!$E$80</f>
        <v>27117.360000000001</v>
      </c>
      <c r="F41" s="2">
        <f>'[1]Service P.O.''s by year'!$E$100+'[1]Service P.O.''s by year'!$E$101+'[1]Service P.O.''s by year'!$F$100</f>
        <v>10924.22</v>
      </c>
      <c r="G41" s="2">
        <f>'[1]Service P.O.''s by year'!$D$121+'[1]Service P.O.''s by year'!$D$122</f>
        <v>13604</v>
      </c>
      <c r="H41" s="2">
        <v>16362</v>
      </c>
      <c r="I41" s="16">
        <v>30494</v>
      </c>
      <c r="J41" s="6">
        <f>9588+4493.68</f>
        <v>14081.68</v>
      </c>
      <c r="K41" s="2">
        <f>14380.67</f>
        <v>14380.67</v>
      </c>
      <c r="L41" s="2">
        <f>10000+4000</f>
        <v>14000</v>
      </c>
      <c r="M41" s="2">
        <v>10692</v>
      </c>
      <c r="N41" s="75">
        <v>8876</v>
      </c>
      <c r="O41" s="57">
        <v>11052</v>
      </c>
      <c r="P41" s="54">
        <v>11384</v>
      </c>
      <c r="Q41" s="66">
        <v>11952</v>
      </c>
      <c r="R41" s="66"/>
      <c r="S41" s="66"/>
    </row>
    <row r="42" spans="1:19" x14ac:dyDescent="0.25">
      <c r="A42" s="5"/>
      <c r="B42" s="22" t="s">
        <v>3</v>
      </c>
      <c r="C42" s="2">
        <f>'[1]Service P.O.''s by year'!$E$34+'[1]Service P.O.''s by year'!$E$35+'[1]Service P.O.''s by year'!$E$36</f>
        <v>85367.650000000009</v>
      </c>
      <c r="D42" s="2">
        <f>'[1]Service P.O.''s by year'!$E$59+'[1]Service P.O.''s by year'!$E$60+'[1]Service P.O.''s by year'!$E$61</f>
        <v>119301.02</v>
      </c>
      <c r="E42" s="2">
        <f>'[1]Service P.O.''s by year'!$E$82+'[1]Service P.O.''s by year'!$E$83+'[1]Service P.O.''s by year'!$E$84</f>
        <v>100572.07</v>
      </c>
      <c r="F42" s="2">
        <f>'[1]Service P.O.''s by year'!$E$103+'[1]Service P.O.''s by year'!$E$104+'[1]Service P.O.''s by year'!$E$105+'[1]Service P.O.''s by year'!$E$106</f>
        <v>153901.72999999998</v>
      </c>
      <c r="G42" s="2">
        <v>149335.35999999999</v>
      </c>
      <c r="H42" s="2">
        <v>188211</v>
      </c>
      <c r="I42" s="16">
        <v>125400</v>
      </c>
      <c r="J42" s="6">
        <f>6373.54+92557.24+19904.08</f>
        <v>118834.86</v>
      </c>
      <c r="K42" s="2">
        <f>97500+13000+76715</f>
        <v>187215</v>
      </c>
      <c r="L42" s="2">
        <v>76715</v>
      </c>
      <c r="M42" s="2">
        <v>76715</v>
      </c>
      <c r="N42" s="75">
        <v>53616</v>
      </c>
      <c r="O42" s="57">
        <v>73636</v>
      </c>
      <c r="P42" s="54">
        <v>73636</v>
      </c>
      <c r="Q42" s="66">
        <v>73896</v>
      </c>
      <c r="R42" s="66">
        <v>79572</v>
      </c>
      <c r="S42" s="66">
        <v>79572</v>
      </c>
    </row>
    <row r="43" spans="1:19" x14ac:dyDescent="0.25">
      <c r="B43" s="22" t="s">
        <v>4</v>
      </c>
      <c r="C43" s="23">
        <f>'[1]Service P.O.''s by year'!$E$38+'[1]Service P.O.''s by year'!$E$39</f>
        <v>33927.479999999996</v>
      </c>
      <c r="D43" s="23">
        <f>'[1]Service P.O.''s by year'!$E$63+'[1]Service P.O.''s by year'!$E$64</f>
        <v>29097.67</v>
      </c>
      <c r="E43" s="23">
        <f>'[1]Service P.O.''s by year'!$E$87+'[1]Service P.O.''s by year'!$E$88</f>
        <v>62022.239999999998</v>
      </c>
      <c r="F43" s="23">
        <f>'[1]Service P.O.''s by year'!$E$108+'[1]Service P.O.''s by year'!$F$108</f>
        <v>21760.25</v>
      </c>
      <c r="G43" s="23">
        <f>'[1]Service P.O.''s by year'!$D$136+'[1]Service P.O.''s by year'!$D$137</f>
        <v>46231.199999999997</v>
      </c>
      <c r="H43" s="23">
        <f>43657.2+15000</f>
        <v>58657.2</v>
      </c>
      <c r="I43" s="24">
        <f>34231+15000</f>
        <v>49231</v>
      </c>
      <c r="J43" s="25">
        <v>34231</v>
      </c>
      <c r="K43" s="2"/>
      <c r="L43" s="2"/>
      <c r="M43" s="2"/>
      <c r="N43" s="70"/>
      <c r="O43" s="57"/>
      <c r="P43" s="54"/>
      <c r="Q43" s="66"/>
      <c r="R43" s="66"/>
      <c r="S43" s="66"/>
    </row>
    <row r="44" spans="1:19" x14ac:dyDescent="0.25">
      <c r="B44" s="22" t="s">
        <v>46</v>
      </c>
      <c r="C44" s="23"/>
      <c r="D44" s="23"/>
      <c r="E44" s="23"/>
      <c r="F44" s="23"/>
      <c r="G44" s="23"/>
      <c r="H44" s="23"/>
      <c r="I44" s="24"/>
      <c r="J44" s="25"/>
      <c r="K44" s="23">
        <v>35943</v>
      </c>
      <c r="L44" s="23">
        <v>37743</v>
      </c>
      <c r="M44" s="23">
        <f>3060+65967.94</f>
        <v>69027.94</v>
      </c>
      <c r="N44" s="70">
        <f>79226.5+5549+5549</f>
        <v>90324.5</v>
      </c>
      <c r="O44" s="57">
        <v>85347</v>
      </c>
      <c r="P44" s="54">
        <v>99338</v>
      </c>
      <c r="Q44" s="66">
        <v>99338</v>
      </c>
      <c r="R44" s="66"/>
      <c r="S44" s="66"/>
    </row>
    <row r="45" spans="1:19" x14ac:dyDescent="0.25">
      <c r="B45" s="22" t="s">
        <v>77</v>
      </c>
      <c r="C45" s="23"/>
      <c r="D45" s="23"/>
      <c r="E45" s="23"/>
      <c r="F45" s="23"/>
      <c r="G45" s="23"/>
      <c r="H45" s="23"/>
      <c r="I45" s="24"/>
      <c r="J45" s="25"/>
      <c r="K45" s="23"/>
      <c r="L45" s="23"/>
      <c r="M45" s="23">
        <v>4795</v>
      </c>
      <c r="N45" s="71"/>
      <c r="O45" s="57"/>
      <c r="P45" s="54"/>
      <c r="Q45" s="66"/>
      <c r="R45" s="66"/>
      <c r="S45" s="66"/>
    </row>
    <row r="46" spans="1:19" x14ac:dyDescent="0.25">
      <c r="B46" s="58" t="s">
        <v>87</v>
      </c>
      <c r="C46" s="23"/>
      <c r="D46" s="23"/>
      <c r="E46" s="23"/>
      <c r="F46" s="23"/>
      <c r="G46" s="23"/>
      <c r="H46" s="23"/>
      <c r="I46" s="24"/>
      <c r="J46" s="25"/>
      <c r="K46" s="23"/>
      <c r="L46" s="23"/>
      <c r="M46" s="23"/>
      <c r="N46" s="73">
        <v>8876</v>
      </c>
      <c r="O46" s="70"/>
      <c r="P46" s="54">
        <f>10140+5076</f>
        <v>15216</v>
      </c>
      <c r="Q46" s="66">
        <f>10140+5076+5076</f>
        <v>20292</v>
      </c>
      <c r="R46" s="66"/>
      <c r="S46" s="66"/>
    </row>
    <row r="47" spans="1:19" x14ac:dyDescent="0.25">
      <c r="B47" s="58" t="s">
        <v>107</v>
      </c>
      <c r="C47" s="23"/>
      <c r="D47" s="23"/>
      <c r="E47" s="23"/>
      <c r="F47" s="23"/>
      <c r="G47" s="23"/>
      <c r="H47" s="23"/>
      <c r="I47" s="24"/>
      <c r="J47" s="25"/>
      <c r="K47" s="23"/>
      <c r="L47" s="23"/>
      <c r="M47" s="23"/>
      <c r="N47" s="73"/>
      <c r="O47" s="70"/>
      <c r="P47" s="54"/>
      <c r="Q47" s="66"/>
      <c r="R47" s="66"/>
      <c r="S47" s="66">
        <f>509+6049+2248</f>
        <v>8806</v>
      </c>
    </row>
    <row r="48" spans="1:19" x14ac:dyDescent="0.25">
      <c r="B48" s="58" t="s">
        <v>89</v>
      </c>
      <c r="C48" s="3"/>
      <c r="D48" s="3"/>
      <c r="E48" s="3"/>
      <c r="F48" s="3"/>
      <c r="G48" s="3"/>
      <c r="H48" s="3"/>
      <c r="I48" s="17"/>
      <c r="J48" s="7"/>
      <c r="K48" s="3"/>
      <c r="L48" s="3"/>
      <c r="M48" s="3"/>
      <c r="N48" s="74"/>
      <c r="O48" s="72">
        <v>10703.66</v>
      </c>
      <c r="P48" s="56"/>
      <c r="Q48" s="69"/>
      <c r="R48" s="69"/>
      <c r="S48" s="69">
        <v>3539</v>
      </c>
    </row>
    <row r="49" spans="1:19" x14ac:dyDescent="0.25">
      <c r="A49" t="s">
        <v>17</v>
      </c>
      <c r="B49" s="22"/>
      <c r="C49" s="2">
        <f t="shared" ref="C49:L49" si="6">SUM(C40:C44)</f>
        <v>132005.28</v>
      </c>
      <c r="D49" s="2">
        <f t="shared" si="6"/>
        <v>241295.65000000002</v>
      </c>
      <c r="E49" s="2">
        <f t="shared" si="6"/>
        <v>203426.63</v>
      </c>
      <c r="F49" s="2">
        <f t="shared" si="6"/>
        <v>205356.99</v>
      </c>
      <c r="G49" s="2">
        <f t="shared" si="6"/>
        <v>226670.56</v>
      </c>
      <c r="H49" s="2">
        <f t="shared" si="6"/>
        <v>280730.2</v>
      </c>
      <c r="I49" s="16">
        <f t="shared" si="6"/>
        <v>217625</v>
      </c>
      <c r="J49" s="16">
        <f t="shared" si="6"/>
        <v>186204.74</v>
      </c>
      <c r="K49" s="16">
        <f t="shared" si="6"/>
        <v>257881.97</v>
      </c>
      <c r="L49" s="16">
        <f t="shared" si="6"/>
        <v>135458</v>
      </c>
      <c r="M49" s="16">
        <f>SUM(M40:M48)</f>
        <v>200540.94</v>
      </c>
      <c r="N49" s="16">
        <f>SUM(N40:N48)</f>
        <v>161692.5</v>
      </c>
      <c r="O49" s="16">
        <f>SUM(O40:O48)</f>
        <v>180738.66</v>
      </c>
      <c r="P49" s="16">
        <f t="shared" ref="P49:S49" si="7">SUM(P40:P48)</f>
        <v>199574</v>
      </c>
      <c r="Q49" s="16">
        <f t="shared" si="7"/>
        <v>205478</v>
      </c>
      <c r="R49" s="16">
        <f t="shared" si="7"/>
        <v>79572</v>
      </c>
      <c r="S49" s="16">
        <f t="shared" si="7"/>
        <v>91917</v>
      </c>
    </row>
    <row r="50" spans="1:19" x14ac:dyDescent="0.25">
      <c r="B50" s="22"/>
      <c r="C50" s="2"/>
      <c r="D50" s="2"/>
      <c r="E50" s="2"/>
      <c r="F50" s="2"/>
      <c r="G50" s="2"/>
      <c r="H50" s="2"/>
      <c r="I50" s="16"/>
      <c r="J50" s="6"/>
      <c r="K50" s="2"/>
      <c r="L50" s="2"/>
      <c r="M50" s="2"/>
      <c r="N50" s="54"/>
      <c r="O50" s="54"/>
      <c r="P50" s="54"/>
      <c r="Q50" s="66"/>
      <c r="R50" s="66"/>
      <c r="S50" s="66"/>
    </row>
    <row r="51" spans="1:19" x14ac:dyDescent="0.25">
      <c r="A51" t="s">
        <v>12</v>
      </c>
      <c r="B51" s="22" t="s">
        <v>13</v>
      </c>
      <c r="C51" s="2">
        <f>'[1]Service P.O.''s by year'!$E$26</f>
        <v>19980</v>
      </c>
      <c r="D51" s="2">
        <f>'[1]Service P.O.''s by year'!$E$50</f>
        <v>13320</v>
      </c>
      <c r="E51" s="2">
        <f>'[1]Service P.O.''s by year'!$E$74</f>
        <v>15310</v>
      </c>
      <c r="F51" s="2">
        <f>'[1]Service P.O.''s by year'!$E$95</f>
        <v>19030</v>
      </c>
      <c r="G51" s="2">
        <v>32000</v>
      </c>
      <c r="H51" s="2">
        <v>25000</v>
      </c>
      <c r="I51" s="16">
        <v>25000</v>
      </c>
      <c r="J51" s="6">
        <v>65610</v>
      </c>
      <c r="K51" s="2">
        <v>63000</v>
      </c>
      <c r="L51" s="2">
        <v>39628.639999999999</v>
      </c>
      <c r="M51" s="2">
        <v>5000</v>
      </c>
      <c r="N51" s="54"/>
      <c r="O51" s="54"/>
      <c r="P51" s="54"/>
      <c r="Q51" s="66"/>
      <c r="R51" s="66"/>
      <c r="S51" s="66"/>
    </row>
    <row r="52" spans="1:19" x14ac:dyDescent="0.25">
      <c r="B52" s="21" t="s">
        <v>88</v>
      </c>
      <c r="C52" s="23"/>
      <c r="D52" s="23"/>
      <c r="E52" s="23"/>
      <c r="F52" s="23"/>
      <c r="G52" s="23"/>
      <c r="H52" s="23"/>
      <c r="I52" s="24"/>
      <c r="J52" s="25"/>
      <c r="K52" s="23"/>
      <c r="L52" s="27"/>
      <c r="M52" s="23"/>
      <c r="N52" s="55">
        <v>22323.58</v>
      </c>
      <c r="O52" s="55">
        <f>90000-23236.42</f>
        <v>66763.58</v>
      </c>
      <c r="P52" s="70">
        <f>55000+17515-2790</f>
        <v>69725</v>
      </c>
      <c r="Q52" s="66">
        <f>35000-1261.14+17844</f>
        <v>51582.86</v>
      </c>
      <c r="R52" s="66">
        <f>17515+55000</f>
        <v>72515</v>
      </c>
      <c r="S52" s="66">
        <f>4690+3200+20000+465+20000+2065+4700</f>
        <v>55120</v>
      </c>
    </row>
    <row r="53" spans="1:19" s="27" customFormat="1" x14ac:dyDescent="0.25">
      <c r="B53" s="64" t="s">
        <v>96</v>
      </c>
      <c r="C53" s="23"/>
      <c r="D53" s="23"/>
      <c r="E53" s="23"/>
      <c r="F53" s="23"/>
      <c r="G53" s="23"/>
      <c r="H53" s="23"/>
      <c r="I53" s="24"/>
      <c r="J53" s="25"/>
      <c r="K53" s="23"/>
      <c r="M53" s="23"/>
      <c r="N53" s="55"/>
      <c r="O53" s="55">
        <f>24500-7961.81</f>
        <v>16538.189999999999</v>
      </c>
      <c r="P53" s="55">
        <f>20000-2544</f>
        <v>17456</v>
      </c>
      <c r="Q53" s="65"/>
      <c r="R53" s="65"/>
      <c r="S53" s="65"/>
    </row>
    <row r="54" spans="1:19" s="27" customFormat="1" x14ac:dyDescent="0.25">
      <c r="B54" s="64" t="s">
        <v>97</v>
      </c>
      <c r="C54" s="23"/>
      <c r="D54" s="23"/>
      <c r="E54" s="23"/>
      <c r="F54" s="23"/>
      <c r="G54" s="23"/>
      <c r="H54" s="23"/>
      <c r="I54" s="24"/>
      <c r="J54" s="25"/>
      <c r="K54" s="23"/>
      <c r="M54" s="23"/>
      <c r="N54" s="55"/>
      <c r="O54" s="55"/>
      <c r="P54" s="55">
        <f>35000-19799.18</f>
        <v>15200.82</v>
      </c>
      <c r="Q54" s="65">
        <f>35000</f>
        <v>35000</v>
      </c>
      <c r="R54" s="65"/>
      <c r="S54" s="65"/>
    </row>
    <row r="55" spans="1:19" x14ac:dyDescent="0.25">
      <c r="B55" s="64" t="s">
        <v>108</v>
      </c>
      <c r="C55" s="3"/>
      <c r="D55" s="3"/>
      <c r="E55" s="3"/>
      <c r="F55" s="3"/>
      <c r="G55" s="3"/>
      <c r="H55" s="3"/>
      <c r="I55" s="17"/>
      <c r="J55" s="7"/>
      <c r="K55" s="3"/>
      <c r="L55" s="26"/>
      <c r="M55" s="3"/>
      <c r="N55" s="56"/>
      <c r="O55" s="56"/>
      <c r="P55" s="56"/>
      <c r="Q55" s="69"/>
      <c r="R55" s="69"/>
      <c r="S55" s="69"/>
    </row>
    <row r="56" spans="1:19" x14ac:dyDescent="0.25">
      <c r="B56" s="22"/>
      <c r="C56" s="2">
        <f>SUM(C51:C55)</f>
        <v>19980</v>
      </c>
      <c r="D56" s="2">
        <f t="shared" ref="D56:S56" si="8">SUM(D51:D55)</f>
        <v>13320</v>
      </c>
      <c r="E56" s="2">
        <f t="shared" si="8"/>
        <v>15310</v>
      </c>
      <c r="F56" s="2">
        <f t="shared" si="8"/>
        <v>19030</v>
      </c>
      <c r="G56" s="2">
        <f t="shared" si="8"/>
        <v>32000</v>
      </c>
      <c r="H56" s="2">
        <f t="shared" si="8"/>
        <v>25000</v>
      </c>
      <c r="I56" s="2">
        <f t="shared" si="8"/>
        <v>25000</v>
      </c>
      <c r="J56" s="2">
        <f t="shared" si="8"/>
        <v>65610</v>
      </c>
      <c r="K56" s="2">
        <f t="shared" si="8"/>
        <v>63000</v>
      </c>
      <c r="L56" s="2">
        <f t="shared" si="8"/>
        <v>39628.639999999999</v>
      </c>
      <c r="M56" s="2">
        <f t="shared" si="8"/>
        <v>5000</v>
      </c>
      <c r="N56" s="2">
        <f t="shared" si="8"/>
        <v>22323.58</v>
      </c>
      <c r="O56" s="2">
        <f t="shared" si="8"/>
        <v>83301.77</v>
      </c>
      <c r="P56" s="2">
        <f t="shared" si="8"/>
        <v>102381.82</v>
      </c>
      <c r="Q56" s="2">
        <f t="shared" si="8"/>
        <v>86582.86</v>
      </c>
      <c r="R56" s="2">
        <f t="shared" si="8"/>
        <v>72515</v>
      </c>
      <c r="S56" s="2">
        <f t="shared" si="8"/>
        <v>55120</v>
      </c>
    </row>
    <row r="57" spans="1:19" x14ac:dyDescent="0.25">
      <c r="B57" s="22"/>
      <c r="C57" s="2"/>
      <c r="D57" s="2"/>
      <c r="E57" s="2"/>
      <c r="F57" s="2"/>
      <c r="G57" s="2"/>
      <c r="H57" s="2"/>
      <c r="I57" s="16"/>
      <c r="J57" s="6"/>
      <c r="K57" s="2"/>
      <c r="M57" s="2"/>
      <c r="N57" s="54"/>
      <c r="O57" s="54"/>
      <c r="P57" s="54"/>
      <c r="Q57" s="66"/>
      <c r="R57" s="66"/>
      <c r="S57" s="66"/>
    </row>
    <row r="58" spans="1:19" x14ac:dyDescent="0.25">
      <c r="B58" s="22"/>
      <c r="C58" s="2"/>
      <c r="D58" s="2"/>
      <c r="E58" s="2"/>
      <c r="F58" s="2"/>
      <c r="G58" s="2"/>
      <c r="H58" s="2"/>
      <c r="I58" s="16"/>
      <c r="J58" s="6"/>
      <c r="K58" s="2"/>
      <c r="M58" s="2"/>
      <c r="N58" s="54"/>
      <c r="O58" s="54"/>
      <c r="P58" s="54"/>
      <c r="Q58" s="66"/>
      <c r="R58" s="66"/>
      <c r="S58" s="66"/>
    </row>
    <row r="59" spans="1:19" s="27" customFormat="1" x14ac:dyDescent="0.25">
      <c r="A59" t="s">
        <v>50</v>
      </c>
      <c r="B59" s="22" t="s">
        <v>54</v>
      </c>
      <c r="C59" s="2">
        <f>'[1]Service P.O.''s by year'!$E$37</f>
        <v>19047.23</v>
      </c>
      <c r="D59" s="2">
        <f>'[1]Service P.O.''s by year'!$E$62</f>
        <v>20369.32</v>
      </c>
      <c r="E59" s="2">
        <f>'[1]Service P.O.''s by year'!$E$85+'[1]Service P.O.''s by year'!$E$86</f>
        <v>19051.03</v>
      </c>
      <c r="F59" s="2">
        <f>'[1]Service P.O.''s by year'!$E$107+'[1]Service P.O.''s by year'!$F$107</f>
        <v>31137.48</v>
      </c>
      <c r="G59" s="2">
        <f>'[1]Service P.O.''s by year'!$D$134+'[1]Service P.O.''s by year'!$D$135</f>
        <v>18335</v>
      </c>
      <c r="H59" s="2">
        <v>28700</v>
      </c>
      <c r="I59" s="16">
        <v>30000</v>
      </c>
      <c r="J59" s="6">
        <v>1000</v>
      </c>
      <c r="K59" s="2">
        <v>1000</v>
      </c>
      <c r="L59" s="2">
        <v>1000</v>
      </c>
      <c r="M59" s="2">
        <v>1000</v>
      </c>
      <c r="N59" s="55"/>
      <c r="O59" s="55"/>
      <c r="P59" s="55"/>
      <c r="Q59" s="65"/>
      <c r="R59" s="65"/>
      <c r="S59" s="65"/>
    </row>
    <row r="60" spans="1:19" s="27" customFormat="1" x14ac:dyDescent="0.25">
      <c r="A60"/>
      <c r="B60" s="29" t="s">
        <v>55</v>
      </c>
      <c r="C60" s="23"/>
      <c r="D60" s="23"/>
      <c r="E60" s="23"/>
      <c r="F60" s="23"/>
      <c r="G60" s="23">
        <v>69000</v>
      </c>
      <c r="H60" s="24">
        <v>85000</v>
      </c>
      <c r="I60" s="24">
        <v>75000</v>
      </c>
      <c r="J60" s="76">
        <v>73696</v>
      </c>
      <c r="K60" s="24">
        <v>85000</v>
      </c>
      <c r="L60" s="24">
        <v>85000</v>
      </c>
      <c r="M60" s="24">
        <f>80000-7736.89</f>
        <v>72263.11</v>
      </c>
      <c r="N60" s="77">
        <v>73259.56</v>
      </c>
      <c r="O60" s="77">
        <v>96207.48</v>
      </c>
      <c r="P60" s="55"/>
      <c r="Q60" s="65"/>
      <c r="R60" s="65"/>
      <c r="S60" s="65"/>
    </row>
    <row r="61" spans="1:19" x14ac:dyDescent="0.25">
      <c r="A61" s="27"/>
      <c r="B61" s="64" t="s">
        <v>98</v>
      </c>
      <c r="C61" s="23"/>
      <c r="D61" s="23"/>
      <c r="E61" s="23"/>
      <c r="F61" s="23"/>
      <c r="G61" s="23"/>
      <c r="H61" s="23"/>
      <c r="I61" s="24"/>
      <c r="J61" s="25"/>
      <c r="K61" s="23"/>
      <c r="L61" s="23"/>
      <c r="M61" s="23"/>
      <c r="N61" s="55"/>
      <c r="O61" s="55"/>
      <c r="P61" s="55">
        <f>95000-35336.7</f>
        <v>59663.3</v>
      </c>
      <c r="Q61" s="65">
        <f>145000-43.27</f>
        <v>144956.73000000001</v>
      </c>
      <c r="R61" s="79">
        <f>128472.12-15177.14</f>
        <v>113294.98</v>
      </c>
      <c r="S61" s="65"/>
    </row>
    <row r="62" spans="1:19" x14ac:dyDescent="0.25">
      <c r="A62" s="27"/>
      <c r="B62" s="64" t="s">
        <v>99</v>
      </c>
      <c r="C62" s="3"/>
      <c r="D62" s="3"/>
      <c r="E62" s="3"/>
      <c r="F62" s="3"/>
      <c r="G62" s="3"/>
      <c r="H62" s="3"/>
      <c r="I62" s="17"/>
      <c r="J62" s="7"/>
      <c r="K62" s="3"/>
      <c r="L62" s="3"/>
      <c r="M62" s="3"/>
      <c r="N62" s="56"/>
      <c r="O62" s="56"/>
      <c r="P62" s="56"/>
      <c r="Q62" s="69"/>
      <c r="R62" s="78"/>
      <c r="S62" s="69">
        <v>118209.5</v>
      </c>
    </row>
    <row r="63" spans="1:19" x14ac:dyDescent="0.25">
      <c r="B63" s="22"/>
      <c r="C63" s="2">
        <f>SUM(C59:C62)</f>
        <v>19047.23</v>
      </c>
      <c r="D63" s="2">
        <f t="shared" ref="D63:S63" si="9">SUM(D59:D62)</f>
        <v>20369.32</v>
      </c>
      <c r="E63" s="2">
        <f t="shared" si="9"/>
        <v>19051.03</v>
      </c>
      <c r="F63" s="2">
        <f t="shared" si="9"/>
        <v>31137.48</v>
      </c>
      <c r="G63" s="2">
        <f t="shared" si="9"/>
        <v>87335</v>
      </c>
      <c r="H63" s="2">
        <f t="shared" si="9"/>
        <v>113700</v>
      </c>
      <c r="I63" s="2">
        <f t="shared" si="9"/>
        <v>105000</v>
      </c>
      <c r="J63" s="2">
        <f t="shared" si="9"/>
        <v>74696</v>
      </c>
      <c r="K63" s="2">
        <f t="shared" si="9"/>
        <v>86000</v>
      </c>
      <c r="L63" s="2">
        <f t="shared" si="9"/>
        <v>86000</v>
      </c>
      <c r="M63" s="2">
        <f t="shared" si="9"/>
        <v>73263.11</v>
      </c>
      <c r="N63" s="2">
        <f t="shared" si="9"/>
        <v>73259.56</v>
      </c>
      <c r="O63" s="2">
        <f t="shared" si="9"/>
        <v>96207.48</v>
      </c>
      <c r="P63" s="2">
        <f t="shared" si="9"/>
        <v>59663.3</v>
      </c>
      <c r="Q63" s="2">
        <f t="shared" si="9"/>
        <v>144956.73000000001</v>
      </c>
      <c r="R63" s="2">
        <f t="shared" si="9"/>
        <v>113294.98</v>
      </c>
      <c r="S63" s="2">
        <f t="shared" si="9"/>
        <v>118209.5</v>
      </c>
    </row>
    <row r="64" spans="1:19" x14ac:dyDescent="0.25">
      <c r="B64" s="2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54"/>
      <c r="O64" s="54"/>
      <c r="P64" s="54"/>
      <c r="Q64" s="66"/>
      <c r="R64" s="66"/>
      <c r="S64" s="66"/>
    </row>
    <row r="65" spans="1:19" x14ac:dyDescent="0.25">
      <c r="B65" s="2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54"/>
      <c r="O65" s="54"/>
      <c r="P65" s="54"/>
      <c r="Q65" s="66"/>
      <c r="R65" s="66"/>
      <c r="S65" s="66"/>
    </row>
    <row r="66" spans="1:19" x14ac:dyDescent="0.25">
      <c r="A66" t="s">
        <v>14</v>
      </c>
      <c r="B66" s="22" t="s">
        <v>49</v>
      </c>
      <c r="C66" s="2"/>
      <c r="D66" s="2"/>
      <c r="E66" s="2"/>
      <c r="F66" s="2"/>
      <c r="G66" s="2"/>
      <c r="H66" s="2"/>
      <c r="I66" s="2">
        <v>42197.56</v>
      </c>
      <c r="J66" s="2">
        <v>60303.74</v>
      </c>
      <c r="K66" s="2">
        <v>57000</v>
      </c>
      <c r="L66" s="2">
        <v>47968.45</v>
      </c>
      <c r="M66" s="2">
        <v>60424.25</v>
      </c>
      <c r="N66" s="55">
        <f>32606.58+700.17</f>
        <v>33306.75</v>
      </c>
      <c r="O66" s="54"/>
      <c r="P66" s="54"/>
      <c r="Q66" s="66"/>
      <c r="R66" s="66"/>
      <c r="S66" s="66"/>
    </row>
    <row r="67" spans="1:19" x14ac:dyDescent="0.25">
      <c r="B67" s="58" t="s">
        <v>103</v>
      </c>
      <c r="C67" s="3"/>
      <c r="D67" s="3"/>
      <c r="E67" s="3"/>
      <c r="F67" s="3"/>
      <c r="G67" s="3"/>
      <c r="H67" s="3"/>
      <c r="I67" s="17"/>
      <c r="J67" s="3"/>
      <c r="K67" s="3"/>
      <c r="L67" s="3"/>
      <c r="M67" s="3"/>
      <c r="N67" s="56"/>
      <c r="O67" s="56"/>
      <c r="P67" s="56"/>
      <c r="Q67" s="69">
        <v>131830</v>
      </c>
      <c r="R67" s="69">
        <v>318213.40000000002</v>
      </c>
      <c r="S67" s="69">
        <v>116050.6</v>
      </c>
    </row>
    <row r="68" spans="1:19" x14ac:dyDescent="0.25">
      <c r="B68" s="58"/>
      <c r="C68" s="2">
        <f>SUM(C66:C67)</f>
        <v>0</v>
      </c>
      <c r="D68" s="2">
        <f t="shared" ref="D68:S68" si="10">SUM(D66:D67)</f>
        <v>0</v>
      </c>
      <c r="E68" s="2">
        <f t="shared" si="10"/>
        <v>0</v>
      </c>
      <c r="F68" s="2">
        <f t="shared" si="10"/>
        <v>0</v>
      </c>
      <c r="G68" s="2">
        <f t="shared" si="10"/>
        <v>0</v>
      </c>
      <c r="H68" s="2">
        <f t="shared" si="10"/>
        <v>0</v>
      </c>
      <c r="I68" s="2">
        <f t="shared" si="10"/>
        <v>42197.56</v>
      </c>
      <c r="J68" s="2">
        <f t="shared" si="10"/>
        <v>60303.74</v>
      </c>
      <c r="K68" s="2">
        <f t="shared" si="10"/>
        <v>57000</v>
      </c>
      <c r="L68" s="2">
        <f t="shared" si="10"/>
        <v>47968.45</v>
      </c>
      <c r="M68" s="2">
        <f t="shared" si="10"/>
        <v>60424.25</v>
      </c>
      <c r="N68" s="2">
        <f t="shared" si="10"/>
        <v>33306.75</v>
      </c>
      <c r="O68" s="2">
        <f t="shared" si="10"/>
        <v>0</v>
      </c>
      <c r="P68" s="2">
        <f t="shared" si="10"/>
        <v>0</v>
      </c>
      <c r="Q68" s="2">
        <f t="shared" si="10"/>
        <v>131830</v>
      </c>
      <c r="R68" s="2">
        <f t="shared" si="10"/>
        <v>318213.40000000002</v>
      </c>
      <c r="S68" s="2">
        <f t="shared" si="10"/>
        <v>116050.6</v>
      </c>
    </row>
    <row r="69" spans="1:19" x14ac:dyDescent="0.25">
      <c r="B69" s="22"/>
      <c r="C69" s="2"/>
      <c r="D69" s="2"/>
      <c r="E69" s="2"/>
      <c r="F69" s="2"/>
      <c r="G69" s="2"/>
      <c r="H69" s="2"/>
      <c r="I69" s="16"/>
      <c r="J69" s="6"/>
      <c r="K69" s="2"/>
      <c r="M69" s="2"/>
      <c r="N69" s="54"/>
      <c r="O69" s="54"/>
      <c r="P69" s="54"/>
      <c r="Q69" s="66"/>
      <c r="R69" s="66"/>
      <c r="S69" s="66"/>
    </row>
    <row r="70" spans="1:19" x14ac:dyDescent="0.25">
      <c r="A70" t="s">
        <v>51</v>
      </c>
      <c r="B70" s="22" t="s">
        <v>15</v>
      </c>
      <c r="C70" s="2">
        <f>'[1]Service P.O.''s by year'!$E$29</f>
        <v>17068.46</v>
      </c>
      <c r="D70" s="2">
        <f>'[1]Service P.O.''s by year'!$E$53+'[1]Service P.O.''s by year'!$E$54</f>
        <v>26657.08</v>
      </c>
      <c r="E70" s="2">
        <f>'[1]Service P.O.''s by year'!$E$77+'[1]Service P.O.''s by year'!$E$78</f>
        <v>20841.189999999999</v>
      </c>
      <c r="F70" s="2">
        <f>'[1]Service P.O.''s by year'!$E$99+'[1]Service P.O.''s by year'!$F$99</f>
        <v>6029.42</v>
      </c>
      <c r="G70" s="2">
        <f>'[1]Service P.O.''s by year'!$D$117+'[1]Service P.O.''s by year'!$D$118+'[1]Service P.O.''s by year'!$D$119+'[1]Service P.O.''s by year'!$D$120</f>
        <v>19677.34</v>
      </c>
      <c r="H70" s="2">
        <v>39000</v>
      </c>
      <c r="I70" s="16">
        <v>27542</v>
      </c>
      <c r="J70" s="18">
        <v>17000</v>
      </c>
      <c r="K70" s="2">
        <v>18000</v>
      </c>
      <c r="L70" s="2">
        <v>17000</v>
      </c>
      <c r="M70" s="2">
        <v>10656.42</v>
      </c>
      <c r="N70" s="54">
        <v>17210.439999999999</v>
      </c>
      <c r="O70" s="54"/>
      <c r="P70" s="54">
        <v>20000</v>
      </c>
      <c r="Q70" s="66">
        <v>80498.929999999993</v>
      </c>
      <c r="R70" s="66">
        <v>70299.789999999994</v>
      </c>
      <c r="S70" s="66">
        <v>5000</v>
      </c>
    </row>
    <row r="71" spans="1:19" x14ac:dyDescent="0.25">
      <c r="B71" s="22" t="s">
        <v>16</v>
      </c>
      <c r="C71" s="3">
        <f>'[1]Service P.O.''s by year'!$E$32+'[1]Service P.O.''s by year'!$E$33</f>
        <v>24890.23</v>
      </c>
      <c r="D71" s="3">
        <f>'[1]Service P.O.''s by year'!$E$57+'[1]Service P.O.''s by year'!$E$58</f>
        <v>52186.33</v>
      </c>
      <c r="E71" s="3">
        <f>'[1]Service P.O.''s by year'!$E$81</f>
        <v>36838.44</v>
      </c>
      <c r="F71" s="3">
        <f>'[1]Service P.O.''s by year'!$E$102+'[1]Service P.O.''s by year'!$F$102</f>
        <v>16395.580000000002</v>
      </c>
      <c r="G71" s="3">
        <f>'[1]Service P.O.''s by year'!$D$123+'[1]Service P.O.''s by year'!$D$124+'[1]Service P.O.''s by year'!$D$125+'[1]Service P.O.''s by year'!$D$126+'[1]Service P.O.''s by year'!$D$127</f>
        <v>19537.36</v>
      </c>
      <c r="H71" s="3">
        <v>22000</v>
      </c>
      <c r="I71" s="17">
        <v>42406</v>
      </c>
      <c r="J71" s="19">
        <v>62000</v>
      </c>
      <c r="K71" s="3">
        <v>45323</v>
      </c>
      <c r="L71" s="3">
        <v>15000</v>
      </c>
      <c r="M71" s="3"/>
      <c r="N71" s="56"/>
      <c r="O71" s="56"/>
      <c r="P71" s="56">
        <v>20000</v>
      </c>
      <c r="Q71" s="69">
        <v>118499.2</v>
      </c>
      <c r="R71" s="69">
        <v>66385.69</v>
      </c>
      <c r="S71" s="69">
        <v>13687.22</v>
      </c>
    </row>
    <row r="72" spans="1:19" x14ac:dyDescent="0.25">
      <c r="A72" t="s">
        <v>17</v>
      </c>
      <c r="B72" s="22"/>
      <c r="C72" s="2">
        <f t="shared" ref="C72:J72" si="11">SUM(C70:C71)</f>
        <v>41958.69</v>
      </c>
      <c r="D72" s="2">
        <f t="shared" si="11"/>
        <v>78843.41</v>
      </c>
      <c r="E72" s="2">
        <f t="shared" si="11"/>
        <v>57679.630000000005</v>
      </c>
      <c r="F72" s="2">
        <f t="shared" si="11"/>
        <v>22425</v>
      </c>
      <c r="G72" s="2">
        <f t="shared" si="11"/>
        <v>39214.699999999997</v>
      </c>
      <c r="H72" s="2">
        <f t="shared" si="11"/>
        <v>61000</v>
      </c>
      <c r="I72" s="16">
        <f t="shared" si="11"/>
        <v>69948</v>
      </c>
      <c r="J72" s="16">
        <f t="shared" si="11"/>
        <v>79000</v>
      </c>
      <c r="K72" s="16">
        <f>SUM(K70:K71)</f>
        <v>63323</v>
      </c>
      <c r="L72" s="16">
        <f>SUM(L70:L71)</f>
        <v>32000</v>
      </c>
      <c r="M72" s="16">
        <f>SUM(M70:M71)</f>
        <v>10656.42</v>
      </c>
      <c r="N72" s="16">
        <f t="shared" ref="N72:S72" si="12">SUM(N70:N71)</f>
        <v>17210.439999999999</v>
      </c>
      <c r="O72" s="16">
        <f t="shared" si="12"/>
        <v>0</v>
      </c>
      <c r="P72" s="16">
        <f t="shared" si="12"/>
        <v>40000</v>
      </c>
      <c r="Q72" s="16">
        <f t="shared" si="12"/>
        <v>198998.13</v>
      </c>
      <c r="R72" s="16">
        <f t="shared" si="12"/>
        <v>136685.47999999998</v>
      </c>
      <c r="S72" s="16">
        <f t="shared" si="12"/>
        <v>18687.22</v>
      </c>
    </row>
    <row r="73" spans="1:19" x14ac:dyDescent="0.25">
      <c r="B73" s="22"/>
      <c r="C73" s="2"/>
      <c r="D73" s="2"/>
      <c r="E73" s="2"/>
      <c r="F73" s="2"/>
      <c r="G73" s="2"/>
      <c r="H73" s="2"/>
      <c r="I73" s="2"/>
      <c r="J73" s="6"/>
      <c r="K73" s="2"/>
      <c r="M73" s="2"/>
      <c r="Q73" s="66"/>
      <c r="R73" s="66"/>
      <c r="S73" s="66"/>
    </row>
    <row r="74" spans="1:19" x14ac:dyDescent="0.25">
      <c r="A74" t="s">
        <v>36</v>
      </c>
      <c r="B74" s="22" t="s">
        <v>38</v>
      </c>
      <c r="C74" s="2"/>
      <c r="D74" s="2"/>
      <c r="E74" s="2"/>
      <c r="F74" s="2"/>
      <c r="G74" s="2"/>
      <c r="H74" s="2"/>
      <c r="I74" s="2">
        <v>37000</v>
      </c>
      <c r="J74" s="6">
        <v>37000</v>
      </c>
      <c r="K74" s="2">
        <v>31500</v>
      </c>
      <c r="L74" s="2">
        <v>30000</v>
      </c>
      <c r="M74" s="2">
        <v>5000</v>
      </c>
      <c r="N74" s="2">
        <v>4364.7</v>
      </c>
      <c r="Q74" s="66"/>
      <c r="R74" s="66"/>
      <c r="S74" s="66"/>
    </row>
    <row r="75" spans="1:19" x14ac:dyDescent="0.25">
      <c r="B75" s="58" t="s">
        <v>105</v>
      </c>
      <c r="C75" s="2"/>
      <c r="D75" s="2"/>
      <c r="E75" s="2"/>
      <c r="F75" s="2"/>
      <c r="G75" s="2"/>
      <c r="H75" s="2"/>
      <c r="I75" s="2"/>
      <c r="J75" s="6"/>
      <c r="K75" s="2"/>
      <c r="L75" s="2"/>
      <c r="M75" s="2"/>
      <c r="N75" s="2"/>
      <c r="P75">
        <v>35524.699999999997</v>
      </c>
      <c r="Q75" s="66">
        <v>46958.7</v>
      </c>
      <c r="R75" s="80">
        <v>35524.699999999997</v>
      </c>
      <c r="S75" s="66">
        <v>28466</v>
      </c>
    </row>
    <row r="76" spans="1:19" x14ac:dyDescent="0.25">
      <c r="B76" s="58" t="s">
        <v>106</v>
      </c>
      <c r="C76" s="3"/>
      <c r="D76" s="3"/>
      <c r="E76" s="3"/>
      <c r="F76" s="3"/>
      <c r="G76" s="3"/>
      <c r="H76" s="3"/>
      <c r="I76" s="3"/>
      <c r="J76" s="7"/>
      <c r="K76" s="3"/>
      <c r="L76" s="3"/>
      <c r="M76" s="3"/>
      <c r="N76" s="3"/>
      <c r="O76" s="26"/>
      <c r="P76" s="26"/>
      <c r="Q76" s="69"/>
      <c r="R76" s="48">
        <v>89625.82</v>
      </c>
      <c r="S76" s="69">
        <v>29038.46</v>
      </c>
    </row>
    <row r="77" spans="1:19" x14ac:dyDescent="0.25">
      <c r="B77" s="22"/>
      <c r="C77" s="2">
        <f>SUM(C74:C76)</f>
        <v>0</v>
      </c>
      <c r="D77" s="2">
        <f t="shared" ref="D77:S77" si="13">SUM(D74:D76)</f>
        <v>0</v>
      </c>
      <c r="E77" s="2">
        <f t="shared" si="13"/>
        <v>0</v>
      </c>
      <c r="F77" s="2">
        <f t="shared" si="13"/>
        <v>0</v>
      </c>
      <c r="G77" s="2">
        <f t="shared" si="13"/>
        <v>0</v>
      </c>
      <c r="H77" s="2">
        <f t="shared" si="13"/>
        <v>0</v>
      </c>
      <c r="I77" s="2">
        <f t="shared" si="13"/>
        <v>37000</v>
      </c>
      <c r="J77" s="2">
        <f t="shared" si="13"/>
        <v>37000</v>
      </c>
      <c r="K77" s="2">
        <f t="shared" si="13"/>
        <v>31500</v>
      </c>
      <c r="L77" s="2">
        <f t="shared" si="13"/>
        <v>30000</v>
      </c>
      <c r="M77" s="2">
        <f t="shared" si="13"/>
        <v>5000</v>
      </c>
      <c r="N77" s="2">
        <f t="shared" si="13"/>
        <v>4364.7</v>
      </c>
      <c r="O77" s="2">
        <f t="shared" si="13"/>
        <v>0</v>
      </c>
      <c r="P77" s="2">
        <f t="shared" si="13"/>
        <v>35524.699999999997</v>
      </c>
      <c r="Q77" s="2">
        <f t="shared" si="13"/>
        <v>46958.7</v>
      </c>
      <c r="R77" s="2">
        <f t="shared" si="13"/>
        <v>125150.52</v>
      </c>
      <c r="S77" s="2">
        <f t="shared" si="13"/>
        <v>57504.46</v>
      </c>
    </row>
    <row r="78" spans="1:19" x14ac:dyDescent="0.25">
      <c r="B78" s="22"/>
      <c r="C78" s="2"/>
      <c r="D78" s="2"/>
      <c r="E78" s="2"/>
      <c r="F78" s="2"/>
      <c r="G78" s="2"/>
      <c r="H78" s="2"/>
      <c r="I78" s="2"/>
      <c r="J78" s="6"/>
      <c r="K78" s="2"/>
      <c r="M78" s="2"/>
      <c r="Q78" s="66"/>
      <c r="R78" s="66"/>
      <c r="S78" s="66"/>
    </row>
    <row r="79" spans="1:19" x14ac:dyDescent="0.25">
      <c r="A79" t="s">
        <v>37</v>
      </c>
      <c r="B79" s="22" t="s">
        <v>52</v>
      </c>
      <c r="C79" s="2"/>
      <c r="D79" s="2"/>
      <c r="E79" s="2"/>
      <c r="F79" s="2"/>
      <c r="G79" s="2"/>
      <c r="H79" s="2"/>
      <c r="I79" s="2">
        <v>11000</v>
      </c>
      <c r="J79" s="6">
        <v>11000</v>
      </c>
      <c r="K79" s="2">
        <v>5000</v>
      </c>
      <c r="M79" s="2"/>
      <c r="Q79" s="66"/>
      <c r="R79" s="66"/>
      <c r="S79" s="66"/>
    </row>
    <row r="80" spans="1:19" x14ac:dyDescent="0.25">
      <c r="B80" s="22" t="s">
        <v>39</v>
      </c>
      <c r="C80" s="2"/>
      <c r="D80" s="2"/>
      <c r="E80" s="2"/>
      <c r="F80" s="2"/>
      <c r="G80" s="2"/>
      <c r="H80" s="2">
        <v>25000</v>
      </c>
      <c r="I80" s="2">
        <v>11000</v>
      </c>
      <c r="J80" s="6">
        <v>8000</v>
      </c>
      <c r="K80" s="2">
        <v>10000</v>
      </c>
      <c r="L80" s="2">
        <v>10000</v>
      </c>
      <c r="M80" s="2">
        <v>10000</v>
      </c>
      <c r="N80" s="2">
        <v>2725</v>
      </c>
      <c r="P80" s="2">
        <v>3002</v>
      </c>
      <c r="Q80" s="66">
        <f>264+2559</f>
        <v>2823</v>
      </c>
      <c r="R80" s="66">
        <f>3627+3300</f>
        <v>6927</v>
      </c>
      <c r="S80" s="66">
        <v>3400</v>
      </c>
    </row>
    <row r="81" spans="1:19" x14ac:dyDescent="0.25">
      <c r="B81" s="22" t="s">
        <v>41</v>
      </c>
      <c r="C81" s="2"/>
      <c r="D81" s="2"/>
      <c r="E81" s="2"/>
      <c r="F81" s="2"/>
      <c r="G81" s="2"/>
      <c r="H81" s="2"/>
      <c r="I81" s="2">
        <v>1000</v>
      </c>
      <c r="J81" s="6">
        <v>6000</v>
      </c>
      <c r="K81" s="2"/>
      <c r="M81" s="2"/>
      <c r="Q81" s="66"/>
      <c r="R81" s="66"/>
      <c r="S81" s="66"/>
    </row>
    <row r="82" spans="1:19" x14ac:dyDescent="0.25">
      <c r="B82" s="22" t="s">
        <v>42</v>
      </c>
      <c r="C82" s="2"/>
      <c r="D82" s="2"/>
      <c r="E82" s="2"/>
      <c r="F82" s="2"/>
      <c r="G82" s="2"/>
      <c r="H82" s="2">
        <v>4000</v>
      </c>
      <c r="I82" s="2">
        <v>3000</v>
      </c>
      <c r="J82" s="6">
        <v>3000</v>
      </c>
      <c r="K82" s="2">
        <v>220</v>
      </c>
      <c r="L82" s="2">
        <v>200</v>
      </c>
      <c r="M82" s="2">
        <v>200</v>
      </c>
      <c r="Q82" s="66"/>
      <c r="R82" s="66"/>
      <c r="S82" s="66"/>
    </row>
    <row r="83" spans="1:19" x14ac:dyDescent="0.25">
      <c r="B83" s="22" t="s">
        <v>43</v>
      </c>
      <c r="C83" s="2"/>
      <c r="D83" s="2"/>
      <c r="E83" s="2"/>
      <c r="F83" s="2"/>
      <c r="G83" s="2"/>
      <c r="H83" s="2">
        <v>2000</v>
      </c>
      <c r="I83" s="2">
        <v>8000</v>
      </c>
      <c r="J83" s="6">
        <v>2000</v>
      </c>
      <c r="K83" s="2">
        <v>2000</v>
      </c>
      <c r="L83" s="2">
        <v>2000</v>
      </c>
      <c r="M83" s="2">
        <v>1000</v>
      </c>
      <c r="Q83" s="66"/>
      <c r="R83" s="66"/>
      <c r="S83" s="66"/>
    </row>
    <row r="84" spans="1:19" x14ac:dyDescent="0.25">
      <c r="B84" s="22" t="s">
        <v>44</v>
      </c>
      <c r="C84" s="2"/>
      <c r="D84" s="2"/>
      <c r="E84" s="2"/>
      <c r="F84" s="2"/>
      <c r="G84" s="2"/>
      <c r="H84" s="2">
        <v>10000</v>
      </c>
      <c r="I84" s="2">
        <v>7500</v>
      </c>
      <c r="J84" s="6">
        <v>8000</v>
      </c>
      <c r="K84" s="2">
        <v>11000</v>
      </c>
      <c r="L84" s="2">
        <v>9000</v>
      </c>
      <c r="M84" s="2">
        <v>8000</v>
      </c>
      <c r="N84" s="2">
        <v>11539.69</v>
      </c>
      <c r="Q84" s="66"/>
      <c r="R84" s="66"/>
      <c r="S84" s="66"/>
    </row>
    <row r="85" spans="1:19" x14ac:dyDescent="0.25">
      <c r="B85" s="22" t="s">
        <v>53</v>
      </c>
      <c r="C85" s="2"/>
      <c r="D85" s="2"/>
      <c r="E85" s="2"/>
      <c r="F85" s="2"/>
      <c r="G85" s="2"/>
      <c r="H85" s="2"/>
      <c r="I85" s="2">
        <v>15000</v>
      </c>
      <c r="J85" s="6">
        <v>15000</v>
      </c>
      <c r="K85" s="2">
        <v>16777</v>
      </c>
      <c r="L85" s="2">
        <v>17000</v>
      </c>
      <c r="M85" s="2">
        <v>19500</v>
      </c>
      <c r="Q85" s="66"/>
      <c r="R85" s="66"/>
      <c r="S85" s="66"/>
    </row>
    <row r="86" spans="1:19" x14ac:dyDescent="0.25">
      <c r="B86" s="22" t="s">
        <v>118</v>
      </c>
      <c r="C86" s="2"/>
      <c r="D86" s="2"/>
      <c r="E86" s="2"/>
      <c r="F86" s="2"/>
      <c r="G86" s="2"/>
      <c r="H86" s="2"/>
      <c r="I86" s="2"/>
      <c r="J86" s="6"/>
      <c r="K86" s="2"/>
      <c r="L86" s="2"/>
      <c r="M86" s="2"/>
      <c r="Q86">
        <v>108674</v>
      </c>
      <c r="R86" s="66">
        <v>129612.9</v>
      </c>
      <c r="S86" s="66">
        <v>98654.05</v>
      </c>
    </row>
    <row r="87" spans="1:19" x14ac:dyDescent="0.25">
      <c r="B87" s="22" t="s">
        <v>40</v>
      </c>
      <c r="C87" s="2"/>
      <c r="D87" s="2"/>
      <c r="E87" s="2"/>
      <c r="F87" s="2"/>
      <c r="G87" s="2"/>
      <c r="H87" s="3"/>
      <c r="I87" s="3">
        <v>1000</v>
      </c>
      <c r="J87" s="7">
        <v>2325</v>
      </c>
      <c r="K87" s="3">
        <v>2999</v>
      </c>
      <c r="L87" s="3">
        <v>2500</v>
      </c>
      <c r="M87" s="3">
        <v>1000</v>
      </c>
      <c r="N87" s="17">
        <v>1689.65</v>
      </c>
      <c r="O87" s="26"/>
      <c r="P87" s="26"/>
      <c r="Q87" s="69"/>
      <c r="R87" s="69"/>
      <c r="S87" s="69"/>
    </row>
    <row r="88" spans="1:19" x14ac:dyDescent="0.25">
      <c r="C88" s="2"/>
      <c r="D88" s="2"/>
      <c r="E88" s="2"/>
      <c r="F88" s="2"/>
      <c r="G88" s="2"/>
      <c r="H88" s="2">
        <f t="shared" ref="H88:P88" si="14">SUM(H79:H87)</f>
        <v>41000</v>
      </c>
      <c r="I88" s="2">
        <f t="shared" si="14"/>
        <v>57500</v>
      </c>
      <c r="J88" s="2">
        <f t="shared" si="14"/>
        <v>55325</v>
      </c>
      <c r="K88" s="2">
        <f t="shared" si="14"/>
        <v>47996</v>
      </c>
      <c r="L88" s="2">
        <f t="shared" si="14"/>
        <v>40700</v>
      </c>
      <c r="M88" s="2">
        <f t="shared" si="14"/>
        <v>39700</v>
      </c>
      <c r="N88" s="2">
        <f t="shared" si="14"/>
        <v>15954.34</v>
      </c>
      <c r="O88" s="2">
        <f t="shared" si="14"/>
        <v>0</v>
      </c>
      <c r="P88" s="2">
        <f t="shared" si="14"/>
        <v>3002</v>
      </c>
      <c r="Q88" s="2">
        <f t="shared" ref="Q88" si="15">SUM(Q79:Q87)</f>
        <v>111497</v>
      </c>
      <c r="R88" s="2">
        <f t="shared" ref="R88" si="16">SUM(R79:R87)</f>
        <v>136539.9</v>
      </c>
      <c r="S88" s="2">
        <f t="shared" ref="S88" si="17">SUM(S79:S87)</f>
        <v>102054.05</v>
      </c>
    </row>
    <row r="89" spans="1:19" x14ac:dyDescent="0.25">
      <c r="C89" s="2"/>
      <c r="D89" s="2"/>
      <c r="E89" s="2"/>
      <c r="F89" s="2"/>
      <c r="G89" s="2"/>
      <c r="H89" s="2"/>
      <c r="I89" s="2"/>
      <c r="J89" s="6"/>
      <c r="K89" s="2"/>
      <c r="M89" s="2"/>
      <c r="Q89" s="66"/>
      <c r="R89" s="66"/>
      <c r="S89" s="66"/>
    </row>
    <row r="90" spans="1:19" x14ac:dyDescent="0.25">
      <c r="A90" t="s">
        <v>78</v>
      </c>
      <c r="B90" t="s">
        <v>79</v>
      </c>
      <c r="C90" s="2"/>
      <c r="D90" s="2"/>
      <c r="E90" s="2"/>
      <c r="F90" s="2"/>
      <c r="G90" s="2"/>
      <c r="H90" s="2"/>
      <c r="I90" s="2"/>
      <c r="J90" s="6"/>
      <c r="K90" s="2"/>
      <c r="M90" s="2">
        <v>1000</v>
      </c>
      <c r="Q90" s="66"/>
      <c r="R90" s="66"/>
      <c r="S90" s="66"/>
    </row>
    <row r="91" spans="1:19" x14ac:dyDescent="0.25">
      <c r="B91" t="s">
        <v>80</v>
      </c>
      <c r="C91" s="2"/>
      <c r="D91" s="2"/>
      <c r="E91" s="2"/>
      <c r="F91" s="2"/>
      <c r="G91" s="2"/>
      <c r="H91" s="2"/>
      <c r="I91" s="2"/>
      <c r="J91" s="6"/>
      <c r="K91" s="2"/>
      <c r="M91" s="2">
        <v>1000</v>
      </c>
      <c r="O91" s="59">
        <v>40243.64</v>
      </c>
      <c r="Q91" s="66"/>
      <c r="R91" s="66"/>
      <c r="S91" s="66"/>
    </row>
    <row r="92" spans="1:19" x14ac:dyDescent="0.25">
      <c r="B92" s="5" t="s">
        <v>109</v>
      </c>
      <c r="C92" s="2"/>
      <c r="D92" s="2"/>
      <c r="E92" s="2"/>
      <c r="F92" s="2"/>
      <c r="G92" s="2"/>
      <c r="H92" s="2"/>
      <c r="I92" s="2"/>
      <c r="J92" s="6"/>
      <c r="K92" s="2"/>
      <c r="M92" s="2"/>
      <c r="O92" s="59"/>
      <c r="P92">
        <f>9267.62</f>
        <v>9267.6200000000008</v>
      </c>
      <c r="Q92" s="66"/>
      <c r="R92" s="66">
        <f>4306.07+8807.08+1674.6+624.36+824.68+1534.54+5467.68+14504.94+3392.73</f>
        <v>41136.680000000008</v>
      </c>
      <c r="S92" s="66"/>
    </row>
    <row r="93" spans="1:19" x14ac:dyDescent="0.25">
      <c r="B93" s="5" t="s">
        <v>110</v>
      </c>
      <c r="C93" s="2"/>
      <c r="D93" s="2"/>
      <c r="E93" s="2"/>
      <c r="F93" s="2"/>
      <c r="G93" s="2"/>
      <c r="H93" s="2"/>
      <c r="I93" s="2"/>
      <c r="J93" s="6"/>
      <c r="K93" s="2"/>
      <c r="M93" s="2"/>
      <c r="O93" s="59"/>
      <c r="Q93" s="66">
        <f>2666.03+478.11+1249.11+1471.34+894.23+86.58+60.56+240.96+21.1+221.01+140.74+1980.01+66.01+13.03+254.73+42.4+79.75+1051.8</f>
        <v>11017.5</v>
      </c>
      <c r="R93" s="66">
        <f>443.12+188.51+427.33+5.3+641.77+532.02+199.57+115.15+745.78+128.75</f>
        <v>3427.3</v>
      </c>
      <c r="S93" s="66"/>
    </row>
    <row r="94" spans="1:19" x14ac:dyDescent="0.25">
      <c r="B94" t="s">
        <v>81</v>
      </c>
      <c r="C94" s="2"/>
      <c r="D94" s="2"/>
      <c r="E94" s="2"/>
      <c r="F94" s="2"/>
      <c r="G94" s="2"/>
      <c r="H94" s="2"/>
      <c r="I94" s="2"/>
      <c r="J94" s="6"/>
      <c r="K94" s="2"/>
      <c r="M94" s="3">
        <v>1000</v>
      </c>
      <c r="N94" s="26"/>
      <c r="O94" s="26"/>
      <c r="P94" s="26"/>
      <c r="Q94" s="69"/>
      <c r="R94" s="69"/>
      <c r="S94" s="69"/>
    </row>
    <row r="95" spans="1:19" x14ac:dyDescent="0.25">
      <c r="C95" s="2"/>
      <c r="D95" s="2"/>
      <c r="E95" s="2"/>
      <c r="F95" s="2"/>
      <c r="G95" s="2"/>
      <c r="H95" s="2"/>
      <c r="I95" s="2"/>
      <c r="J95" s="6"/>
      <c r="K95" s="2"/>
      <c r="M95" s="2">
        <f t="shared" ref="M95:S95" si="18">SUM(M90:M94)</f>
        <v>3000</v>
      </c>
      <c r="N95" s="2">
        <f t="shared" si="18"/>
        <v>0</v>
      </c>
      <c r="O95" s="2">
        <f t="shared" si="18"/>
        <v>40243.64</v>
      </c>
      <c r="P95" s="2">
        <f t="shared" si="18"/>
        <v>9267.6200000000008</v>
      </c>
      <c r="Q95" s="2">
        <f t="shared" si="18"/>
        <v>11017.5</v>
      </c>
      <c r="R95" s="2">
        <f t="shared" si="18"/>
        <v>44563.98000000001</v>
      </c>
      <c r="S95" s="2">
        <f t="shared" si="18"/>
        <v>0</v>
      </c>
    </row>
    <row r="96" spans="1:19" x14ac:dyDescent="0.25">
      <c r="C96" s="2"/>
      <c r="D96" s="2"/>
      <c r="E96" s="2"/>
      <c r="F96" s="2"/>
      <c r="G96" s="2"/>
      <c r="H96" s="2"/>
      <c r="I96" s="2"/>
      <c r="J96" s="6"/>
      <c r="K96" s="2"/>
      <c r="M96" s="2"/>
      <c r="N96" s="2"/>
      <c r="O96" s="2"/>
      <c r="P96" s="2"/>
      <c r="Q96" s="66"/>
      <c r="R96" s="66"/>
      <c r="S96" s="66"/>
    </row>
    <row r="97" spans="1:19" x14ac:dyDescent="0.25">
      <c r="A97" t="s">
        <v>113</v>
      </c>
      <c r="B97" t="s">
        <v>114</v>
      </c>
      <c r="C97" s="2"/>
      <c r="D97" s="2"/>
      <c r="E97" s="2"/>
      <c r="F97" s="2"/>
      <c r="G97" s="2"/>
      <c r="H97" s="2"/>
      <c r="I97" s="2"/>
      <c r="J97" s="6"/>
      <c r="K97" s="2"/>
      <c r="M97" s="2"/>
      <c r="N97" s="2"/>
      <c r="O97" s="2"/>
      <c r="P97" s="2"/>
      <c r="Q97" s="66"/>
      <c r="R97" s="66"/>
      <c r="S97" s="81">
        <v>60000</v>
      </c>
    </row>
    <row r="98" spans="1:19" x14ac:dyDescent="0.25">
      <c r="C98" s="2"/>
      <c r="D98" s="2"/>
      <c r="E98" s="2"/>
      <c r="F98" s="2"/>
      <c r="G98" s="2"/>
      <c r="H98" s="2"/>
      <c r="I98" s="2"/>
      <c r="J98" s="6"/>
      <c r="K98" s="2"/>
      <c r="M98" s="2"/>
      <c r="N98" s="2"/>
      <c r="O98" s="2"/>
      <c r="P98" s="2"/>
      <c r="Q98" s="66"/>
      <c r="R98" s="66"/>
      <c r="S98" s="82"/>
    </row>
    <row r="99" spans="1:19" x14ac:dyDescent="0.25">
      <c r="A99" t="s">
        <v>115</v>
      </c>
      <c r="C99" s="2"/>
      <c r="D99" s="2"/>
      <c r="E99" s="2"/>
      <c r="F99" s="2"/>
      <c r="G99" s="2"/>
      <c r="H99" s="2"/>
      <c r="I99" s="2"/>
      <c r="J99" s="6"/>
      <c r="K99" s="2"/>
      <c r="M99" s="2"/>
      <c r="N99" s="2"/>
      <c r="O99" s="2"/>
      <c r="P99" s="2"/>
      <c r="Q99" s="66"/>
      <c r="R99" s="66"/>
      <c r="S99" s="82"/>
    </row>
    <row r="100" spans="1:19" x14ac:dyDescent="0.25">
      <c r="C100" s="2"/>
      <c r="D100" s="2"/>
      <c r="E100" s="2"/>
      <c r="F100" s="2"/>
      <c r="G100" s="2"/>
      <c r="H100" s="2"/>
      <c r="I100" s="2"/>
      <c r="J100" s="6"/>
      <c r="K100" s="2"/>
      <c r="M100" s="2"/>
      <c r="N100" s="2"/>
      <c r="O100" s="2"/>
      <c r="P100" s="2"/>
      <c r="Q100" s="66"/>
      <c r="R100" s="66"/>
      <c r="S100" s="82"/>
    </row>
    <row r="101" spans="1:19" x14ac:dyDescent="0.25">
      <c r="A101" s="5" t="s">
        <v>120</v>
      </c>
      <c r="B101" s="5" t="s">
        <v>119</v>
      </c>
      <c r="C101" s="2"/>
      <c r="D101" s="2"/>
      <c r="E101" s="2"/>
      <c r="F101" s="2"/>
      <c r="G101" s="2"/>
      <c r="H101" s="2"/>
      <c r="I101" s="2"/>
      <c r="J101" s="6"/>
      <c r="K101" s="2"/>
      <c r="M101" s="2"/>
      <c r="N101" s="2"/>
      <c r="O101" s="2">
        <f>4463.85+21524.72+15364.95+16432.55</f>
        <v>57786.070000000007</v>
      </c>
      <c r="P101" s="2">
        <f>16093.45+5917.75+13331.75</f>
        <v>35342.949999999997</v>
      </c>
      <c r="Q101" s="66">
        <v>84163.24</v>
      </c>
      <c r="R101" s="66">
        <v>45497.27</v>
      </c>
      <c r="S101" s="66">
        <v>66996.66</v>
      </c>
    </row>
    <row r="102" spans="1:19" x14ac:dyDescent="0.25">
      <c r="A102" s="5"/>
      <c r="B102" s="5" t="s">
        <v>121</v>
      </c>
      <c r="C102" s="2"/>
      <c r="D102" s="2"/>
      <c r="E102" s="2"/>
      <c r="F102" s="2"/>
      <c r="G102" s="2"/>
      <c r="H102" s="2"/>
      <c r="I102" s="2"/>
      <c r="J102" s="6"/>
      <c r="K102" s="2"/>
      <c r="M102" s="2"/>
      <c r="N102" s="2"/>
      <c r="O102" s="2">
        <f>32500</f>
        <v>32500</v>
      </c>
      <c r="P102" s="2"/>
      <c r="Q102" s="66"/>
      <c r="R102" s="66"/>
      <c r="S102" s="66"/>
    </row>
    <row r="103" spans="1:19" x14ac:dyDescent="0.25">
      <c r="A103" s="5"/>
      <c r="B103" s="5" t="s">
        <v>122</v>
      </c>
      <c r="C103" s="3"/>
      <c r="D103" s="3"/>
      <c r="E103" s="3"/>
      <c r="F103" s="3"/>
      <c r="G103" s="3"/>
      <c r="H103" s="3"/>
      <c r="I103" s="3"/>
      <c r="J103" s="7"/>
      <c r="K103" s="3"/>
      <c r="L103" s="26"/>
      <c r="M103" s="3"/>
      <c r="N103" s="3"/>
      <c r="O103" s="3">
        <v>4880</v>
      </c>
      <c r="P103" s="3"/>
      <c r="Q103" s="69"/>
      <c r="R103" s="69"/>
      <c r="S103" s="69"/>
    </row>
    <row r="104" spans="1:19" x14ac:dyDescent="0.25">
      <c r="A104" s="5"/>
      <c r="B104" s="5"/>
      <c r="C104" s="66">
        <f t="shared" ref="C104:R104" si="19">SUM(C101:C103)</f>
        <v>0</v>
      </c>
      <c r="D104" s="66">
        <f t="shared" si="19"/>
        <v>0</v>
      </c>
      <c r="E104" s="66">
        <f t="shared" si="19"/>
        <v>0</v>
      </c>
      <c r="F104" s="66">
        <f t="shared" si="19"/>
        <v>0</v>
      </c>
      <c r="G104" s="66">
        <f t="shared" si="19"/>
        <v>0</v>
      </c>
      <c r="H104" s="66">
        <f t="shared" si="19"/>
        <v>0</v>
      </c>
      <c r="I104" s="66">
        <f t="shared" si="19"/>
        <v>0</v>
      </c>
      <c r="J104" s="66">
        <f t="shared" si="19"/>
        <v>0</v>
      </c>
      <c r="K104" s="66">
        <f t="shared" si="19"/>
        <v>0</v>
      </c>
      <c r="L104" s="66">
        <f t="shared" si="19"/>
        <v>0</v>
      </c>
      <c r="M104" s="66">
        <f t="shared" si="19"/>
        <v>0</v>
      </c>
      <c r="N104" s="66">
        <f t="shared" si="19"/>
        <v>0</v>
      </c>
      <c r="O104" s="66">
        <f t="shared" si="19"/>
        <v>95166.07</v>
      </c>
      <c r="P104" s="66">
        <f t="shared" si="19"/>
        <v>35342.949999999997</v>
      </c>
      <c r="Q104" s="66">
        <f t="shared" si="19"/>
        <v>84163.24</v>
      </c>
      <c r="R104" s="66">
        <f t="shared" si="19"/>
        <v>45497.27</v>
      </c>
      <c r="S104" s="66">
        <f>SUM(S101:S103)</f>
        <v>66996.66</v>
      </c>
    </row>
    <row r="105" spans="1:19" x14ac:dyDescent="0.25">
      <c r="A105" s="5"/>
      <c r="B105" s="5"/>
      <c r="C105" s="2"/>
      <c r="D105" s="2"/>
      <c r="E105" s="2"/>
      <c r="F105" s="2"/>
      <c r="G105" s="2"/>
      <c r="H105" s="2"/>
      <c r="I105" s="2"/>
      <c r="J105" s="6"/>
      <c r="K105" s="2"/>
      <c r="M105" s="2"/>
      <c r="N105" s="2"/>
      <c r="O105" s="2"/>
      <c r="P105" s="2"/>
      <c r="Q105" s="66"/>
      <c r="R105" s="66"/>
      <c r="S105" s="66"/>
    </row>
    <row r="106" spans="1:19" x14ac:dyDescent="0.25">
      <c r="C106" s="2"/>
      <c r="D106" s="2"/>
      <c r="E106" s="2"/>
      <c r="F106" s="2"/>
      <c r="G106" s="2"/>
      <c r="H106" s="2"/>
      <c r="I106" s="2"/>
      <c r="J106" s="6"/>
      <c r="K106" s="2"/>
      <c r="M106" s="2"/>
      <c r="N106" s="2"/>
      <c r="O106" s="2"/>
      <c r="P106" s="2"/>
      <c r="Q106" s="66"/>
      <c r="R106" s="66"/>
      <c r="S106" s="66"/>
    </row>
    <row r="107" spans="1:19" x14ac:dyDescent="0.25">
      <c r="A107" t="s">
        <v>112</v>
      </c>
      <c r="B107" s="5" t="s">
        <v>104</v>
      </c>
      <c r="C107" s="2"/>
      <c r="D107" s="2"/>
      <c r="E107" s="2"/>
      <c r="F107" s="2"/>
      <c r="G107" s="2"/>
      <c r="H107" s="2"/>
      <c r="I107" s="2"/>
      <c r="J107" s="6"/>
      <c r="K107" s="2"/>
      <c r="M107" s="2"/>
      <c r="P107">
        <v>259428.36</v>
      </c>
      <c r="Q107" s="66">
        <f>295801.7</f>
        <v>295801.7</v>
      </c>
      <c r="R107" s="66">
        <v>330768.31</v>
      </c>
      <c r="S107" s="66">
        <v>375000</v>
      </c>
    </row>
    <row r="108" spans="1:19" x14ac:dyDescent="0.25">
      <c r="B108" s="5" t="s">
        <v>111</v>
      </c>
      <c r="C108" s="2"/>
      <c r="D108" s="2"/>
      <c r="E108" s="2"/>
      <c r="F108" s="2"/>
      <c r="G108" s="2"/>
      <c r="H108" s="2"/>
      <c r="I108" s="2"/>
      <c r="J108" s="6"/>
      <c r="K108" s="2"/>
      <c r="M108" s="2"/>
      <c r="N108">
        <v>227443</v>
      </c>
      <c r="O108">
        <v>202418</v>
      </c>
      <c r="Q108" s="66"/>
      <c r="R108" s="66"/>
      <c r="S108" s="66"/>
    </row>
    <row r="109" spans="1:19" x14ac:dyDescent="0.25">
      <c r="B109" s="5"/>
      <c r="C109" s="2"/>
      <c r="D109" s="2"/>
      <c r="E109" s="2"/>
      <c r="F109" s="2"/>
      <c r="G109" s="2"/>
      <c r="H109" s="2"/>
      <c r="I109" s="2"/>
      <c r="J109" s="6"/>
      <c r="K109" s="2"/>
      <c r="M109" s="2"/>
      <c r="Q109" s="66"/>
      <c r="R109" s="66"/>
      <c r="S109" s="66"/>
    </row>
    <row r="110" spans="1:19" x14ac:dyDescent="0.25">
      <c r="A110" t="s">
        <v>116</v>
      </c>
      <c r="B110" s="5" t="s">
        <v>117</v>
      </c>
      <c r="C110" s="2"/>
      <c r="D110" s="2"/>
      <c r="E110" s="2"/>
      <c r="F110" s="2"/>
      <c r="G110" s="2"/>
      <c r="H110" s="2"/>
      <c r="I110" s="2"/>
      <c r="J110" s="6"/>
      <c r="K110" s="2"/>
      <c r="M110" s="2"/>
      <c r="N110">
        <v>306366.55</v>
      </c>
      <c r="O110">
        <v>312918.55</v>
      </c>
      <c r="P110">
        <v>311474.76</v>
      </c>
      <c r="Q110" s="66">
        <v>340982.78</v>
      </c>
      <c r="R110" s="66">
        <v>259992.51</v>
      </c>
      <c r="S110" s="66">
        <v>265095.12</v>
      </c>
    </row>
    <row r="111" spans="1:19" x14ac:dyDescent="0.25">
      <c r="B111" s="5"/>
      <c r="C111" s="2"/>
      <c r="D111" s="2"/>
      <c r="E111" s="2"/>
      <c r="F111" s="2"/>
      <c r="G111" s="2"/>
      <c r="H111" s="2"/>
      <c r="I111" s="2"/>
      <c r="J111" s="6"/>
      <c r="K111" s="2"/>
      <c r="M111" s="2"/>
      <c r="Q111" s="66"/>
      <c r="R111" s="66"/>
      <c r="S111" s="66"/>
    </row>
    <row r="112" spans="1:19" ht="13.8" thickBot="1" x14ac:dyDescent="0.3">
      <c r="B112" s="5" t="s">
        <v>144</v>
      </c>
      <c r="C112" s="20">
        <f t="shared" ref="C112:S112" si="20">C9+C13+C15+C17+C26+C37+C49+C56+C63+C68+C72+C77+C88+C95+C107+C97+C110+C104</f>
        <v>1255873.04</v>
      </c>
      <c r="D112" s="20">
        <f t="shared" si="20"/>
        <v>1304746.8599999999</v>
      </c>
      <c r="E112" s="20">
        <f t="shared" si="20"/>
        <v>1383085.4500000002</v>
      </c>
      <c r="F112" s="20">
        <f t="shared" si="20"/>
        <v>1446825.0999999999</v>
      </c>
      <c r="G112" s="20">
        <f t="shared" si="20"/>
        <v>1819261.66</v>
      </c>
      <c r="H112" s="20">
        <f t="shared" si="20"/>
        <v>1743945.3499999999</v>
      </c>
      <c r="I112" s="20">
        <f t="shared" si="20"/>
        <v>1895167.52</v>
      </c>
      <c r="J112" s="20">
        <f t="shared" si="20"/>
        <v>1716890.48</v>
      </c>
      <c r="K112" s="20">
        <f t="shared" si="20"/>
        <v>1836762.8099999998</v>
      </c>
      <c r="L112" s="20">
        <f t="shared" si="20"/>
        <v>1719239.0999999999</v>
      </c>
      <c r="M112" s="20">
        <f t="shared" si="20"/>
        <v>1867969.0899999999</v>
      </c>
      <c r="N112" s="20">
        <f t="shared" si="20"/>
        <v>2415792.4699999997</v>
      </c>
      <c r="O112" s="88">
        <f t="shared" si="20"/>
        <v>2497251.6099999994</v>
      </c>
      <c r="P112" s="88">
        <f t="shared" si="20"/>
        <v>2870415.95</v>
      </c>
      <c r="Q112" s="88">
        <f t="shared" si="20"/>
        <v>3319231.5500000007</v>
      </c>
      <c r="R112" s="88">
        <f t="shared" si="20"/>
        <v>3299449.1300000004</v>
      </c>
      <c r="S112" s="88">
        <f t="shared" si="20"/>
        <v>2971832.0500000003</v>
      </c>
    </row>
    <row r="113" spans="1:20" ht="13.8" thickTop="1" x14ac:dyDescent="0.25">
      <c r="H113" s="2"/>
      <c r="I113" s="2"/>
      <c r="J113" s="6"/>
      <c r="Q113" s="66"/>
      <c r="R113" s="66"/>
      <c r="S113" s="66"/>
    </row>
    <row r="114" spans="1:20" x14ac:dyDescent="0.25"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Q114" s="66"/>
      <c r="R114" s="66"/>
      <c r="S114" s="66"/>
    </row>
    <row r="115" spans="1:20" x14ac:dyDescent="0.25">
      <c r="A115" s="5" t="s">
        <v>123</v>
      </c>
      <c r="H115" s="2"/>
      <c r="I115" s="2"/>
      <c r="J115" s="6"/>
      <c r="Q115" s="66"/>
      <c r="R115" s="66"/>
      <c r="S115" s="66"/>
    </row>
    <row r="116" spans="1:20" x14ac:dyDescent="0.25">
      <c r="B116" s="5" t="s">
        <v>124</v>
      </c>
      <c r="H116" s="2"/>
      <c r="I116" s="2"/>
      <c r="J116" s="6"/>
      <c r="L116" s="83"/>
      <c r="M116" s="83"/>
      <c r="N116" s="83">
        <f>152954.15+103448.87</f>
        <v>256403.02</v>
      </c>
      <c r="O116" s="83">
        <v>221434.08</v>
      </c>
      <c r="P116" s="83">
        <v>261775.59</v>
      </c>
      <c r="Q116" s="83">
        <v>209021.78</v>
      </c>
      <c r="R116" s="83">
        <v>107792.84</v>
      </c>
      <c r="S116" s="83">
        <f>123758.21</f>
        <v>123758.21</v>
      </c>
    </row>
    <row r="117" spans="1:20" x14ac:dyDescent="0.25">
      <c r="B117" s="5" t="s">
        <v>125</v>
      </c>
      <c r="H117" s="2"/>
      <c r="I117" s="2"/>
      <c r="J117" s="6"/>
      <c r="L117" s="83"/>
      <c r="M117" s="83"/>
      <c r="N117" s="83">
        <f>275945.2+144594.8</f>
        <v>420540</v>
      </c>
      <c r="O117" s="83">
        <v>336220.25</v>
      </c>
      <c r="P117" s="83">
        <v>407484.33</v>
      </c>
      <c r="Q117" s="83">
        <v>419289.82</v>
      </c>
      <c r="R117" s="83">
        <v>310928.25</v>
      </c>
      <c r="S117" s="83">
        <v>220662.49</v>
      </c>
    </row>
    <row r="118" spans="1:20" x14ac:dyDescent="0.25">
      <c r="B118" s="5" t="s">
        <v>126</v>
      </c>
      <c r="H118" s="2"/>
      <c r="I118" s="2"/>
      <c r="J118" s="6"/>
      <c r="L118" s="83"/>
      <c r="M118" s="83"/>
      <c r="N118" s="83">
        <f>297114.03+54497.42</f>
        <v>351611.45</v>
      </c>
      <c r="O118" s="83">
        <v>415887.64</v>
      </c>
      <c r="P118" s="83">
        <v>685868.45</v>
      </c>
      <c r="Q118" s="83">
        <v>663893.44999999995</v>
      </c>
      <c r="R118" s="83">
        <v>472838.68</v>
      </c>
      <c r="S118" s="83">
        <v>367499.21</v>
      </c>
    </row>
    <row r="119" spans="1:20" x14ac:dyDescent="0.25">
      <c r="A119" s="5"/>
      <c r="B119" s="5" t="s">
        <v>127</v>
      </c>
      <c r="H119" s="2"/>
      <c r="I119" s="2"/>
      <c r="J119" s="6"/>
      <c r="L119" s="83"/>
      <c r="M119" s="83"/>
      <c r="N119" s="83">
        <f>30900.91+592.47</f>
        <v>31493.38</v>
      </c>
      <c r="O119" s="83">
        <v>38394.89</v>
      </c>
      <c r="P119" s="83">
        <v>61400.65</v>
      </c>
      <c r="Q119" s="83">
        <v>65820.67</v>
      </c>
      <c r="R119" s="83">
        <v>35015.01</v>
      </c>
      <c r="S119" s="83">
        <v>31403.08</v>
      </c>
    </row>
    <row r="120" spans="1:20" x14ac:dyDescent="0.25">
      <c r="A120" s="5"/>
      <c r="B120" s="5" t="s">
        <v>128</v>
      </c>
      <c r="H120" s="2"/>
      <c r="I120" s="2"/>
      <c r="J120" s="6"/>
      <c r="L120" s="83"/>
      <c r="M120" s="83"/>
      <c r="N120" s="83">
        <f>534426.51+248631.1</f>
        <v>783057.61</v>
      </c>
      <c r="O120" s="83">
        <v>660275.86</v>
      </c>
      <c r="P120" s="83">
        <v>862284.12</v>
      </c>
      <c r="Q120" s="83">
        <v>1326962.51</v>
      </c>
      <c r="R120" s="83">
        <v>1190641.28</v>
      </c>
      <c r="S120" s="83">
        <f>1325456.4-375000</f>
        <v>950456.39999999991</v>
      </c>
    </row>
    <row r="121" spans="1:20" x14ac:dyDescent="0.25">
      <c r="A121" s="5"/>
      <c r="B121" s="5" t="s">
        <v>129</v>
      </c>
      <c r="H121" s="2"/>
      <c r="I121" s="2"/>
      <c r="J121" s="6"/>
      <c r="L121" s="83"/>
      <c r="M121" s="83"/>
      <c r="N121" s="83">
        <f>24828.4+4966.6</f>
        <v>29795</v>
      </c>
      <c r="O121" s="83">
        <v>14510.46</v>
      </c>
      <c r="P121" s="83">
        <v>1308.8</v>
      </c>
      <c r="Q121" s="83">
        <v>848</v>
      </c>
      <c r="R121" s="83">
        <v>4221.7</v>
      </c>
      <c r="S121" s="83">
        <v>4077.85</v>
      </c>
    </row>
    <row r="122" spans="1:20" x14ac:dyDescent="0.25">
      <c r="A122" s="5"/>
      <c r="B122" s="5" t="s">
        <v>130</v>
      </c>
      <c r="H122" s="2"/>
      <c r="I122" s="2"/>
      <c r="J122" s="6"/>
      <c r="L122" s="83"/>
      <c r="M122" s="83"/>
      <c r="N122" s="83">
        <f>422105.12+189076.07</f>
        <v>611181.18999999994</v>
      </c>
      <c r="O122" s="83">
        <v>691792.07</v>
      </c>
      <c r="P122" s="83">
        <v>719210.5</v>
      </c>
      <c r="Q122" s="83">
        <v>612674.86</v>
      </c>
      <c r="R122" s="83">
        <v>550638.75</v>
      </c>
      <c r="S122" s="83">
        <f>495892.02</f>
        <v>495892.02</v>
      </c>
    </row>
    <row r="123" spans="1:20" x14ac:dyDescent="0.25">
      <c r="A123" s="5"/>
      <c r="B123" s="5" t="s">
        <v>131</v>
      </c>
      <c r="H123" s="2"/>
      <c r="I123" s="2"/>
      <c r="J123" s="6"/>
      <c r="L123" s="83"/>
      <c r="M123" s="83"/>
      <c r="N123" s="87">
        <f>127294.82+297716.19</f>
        <v>425011.01</v>
      </c>
      <c r="O123" s="85">
        <v>116512.57</v>
      </c>
      <c r="P123" s="85">
        <v>111741.87</v>
      </c>
      <c r="Q123" s="85">
        <v>175236.8</v>
      </c>
      <c r="R123" s="85">
        <v>161712.51</v>
      </c>
      <c r="S123" s="85">
        <v>86998.67</v>
      </c>
      <c r="T123" s="27"/>
    </row>
    <row r="124" spans="1:20" x14ac:dyDescent="0.25">
      <c r="A124" s="86"/>
      <c r="B124" s="86" t="s">
        <v>132</v>
      </c>
      <c r="C124" s="80"/>
      <c r="D124" s="80"/>
      <c r="E124" s="80"/>
      <c r="F124" s="80"/>
      <c r="G124" s="80"/>
      <c r="H124" s="80"/>
      <c r="I124" s="80"/>
      <c r="J124" s="80"/>
      <c r="K124" s="80"/>
      <c r="L124" s="80"/>
      <c r="M124" s="80"/>
      <c r="N124" s="48">
        <f>72917.84+25360.41</f>
        <v>98278.25</v>
      </c>
      <c r="O124" s="48">
        <v>68631.02</v>
      </c>
      <c r="P124" s="48">
        <v>121477.66</v>
      </c>
      <c r="Q124" s="48">
        <v>66451.710000000006</v>
      </c>
      <c r="R124" s="48">
        <v>52507.18</v>
      </c>
      <c r="S124" s="84">
        <v>30363.01</v>
      </c>
    </row>
    <row r="125" spans="1:20" x14ac:dyDescent="0.25">
      <c r="A125" s="86"/>
      <c r="B125" s="86" t="s">
        <v>145</v>
      </c>
      <c r="C125" s="80"/>
      <c r="D125" s="80"/>
      <c r="E125" s="80"/>
      <c r="F125" s="80"/>
      <c r="G125" s="80"/>
      <c r="H125" s="80"/>
      <c r="I125" s="80"/>
      <c r="J125" s="80"/>
      <c r="K125" s="80"/>
      <c r="L125" s="80"/>
      <c r="M125" s="80"/>
      <c r="N125" s="80">
        <f>SUM(N116:N124)</f>
        <v>3007370.91</v>
      </c>
      <c r="O125" s="85">
        <f t="shared" ref="O125:R125" si="21">SUM(O116:O124)</f>
        <v>2563658.84</v>
      </c>
      <c r="P125" s="85">
        <f t="shared" si="21"/>
        <v>3232551.97</v>
      </c>
      <c r="Q125" s="85">
        <f t="shared" si="21"/>
        <v>3540199.5999999992</v>
      </c>
      <c r="R125" s="85">
        <f t="shared" si="21"/>
        <v>2886296.2000000007</v>
      </c>
      <c r="S125" s="85">
        <f>SUM(S116:S124)</f>
        <v>2311110.9399999995</v>
      </c>
    </row>
    <row r="126" spans="1:20" x14ac:dyDescent="0.25">
      <c r="A126" s="86"/>
      <c r="B126" s="86"/>
      <c r="C126" s="80"/>
      <c r="D126" s="80"/>
      <c r="E126" s="80"/>
      <c r="F126" s="80"/>
      <c r="G126" s="80"/>
      <c r="H126" s="80"/>
      <c r="I126" s="80"/>
      <c r="J126" s="80"/>
      <c r="K126" s="80"/>
      <c r="L126" s="80"/>
      <c r="M126" s="80"/>
      <c r="N126" s="80"/>
      <c r="O126" s="46"/>
      <c r="P126" s="46"/>
      <c r="Q126" s="46"/>
      <c r="R126" s="46"/>
      <c r="S126" s="85"/>
    </row>
    <row r="127" spans="1:20" hidden="1" x14ac:dyDescent="0.25">
      <c r="A127" s="86"/>
      <c r="B127" s="5" t="s">
        <v>133</v>
      </c>
      <c r="C127" s="80"/>
      <c r="D127" s="80"/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46"/>
      <c r="P127" s="46"/>
      <c r="Q127" s="46"/>
      <c r="R127" s="46"/>
      <c r="S127" s="85"/>
    </row>
    <row r="128" spans="1:20" hidden="1" x14ac:dyDescent="0.25">
      <c r="A128" s="86"/>
      <c r="B128" s="5" t="s">
        <v>134</v>
      </c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46"/>
      <c r="P128" s="46"/>
      <c r="Q128" s="46"/>
      <c r="R128" s="46"/>
      <c r="S128" s="85"/>
    </row>
    <row r="129" spans="1:19" hidden="1" x14ac:dyDescent="0.25">
      <c r="A129" s="86"/>
      <c r="B129" s="5" t="s">
        <v>135</v>
      </c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80"/>
      <c r="N129" s="80"/>
      <c r="O129" s="46"/>
      <c r="P129" s="46"/>
      <c r="Q129" s="46"/>
      <c r="R129" s="46"/>
      <c r="S129" s="85"/>
    </row>
    <row r="130" spans="1:19" hidden="1" x14ac:dyDescent="0.25">
      <c r="A130" s="86"/>
      <c r="B130" s="5" t="s">
        <v>142</v>
      </c>
      <c r="C130" s="80"/>
      <c r="D130" s="80"/>
      <c r="E130" s="80"/>
      <c r="F130" s="80"/>
      <c r="G130" s="80"/>
      <c r="H130" s="80"/>
      <c r="I130" s="80"/>
      <c r="J130" s="80"/>
      <c r="K130" s="80"/>
      <c r="L130" s="80"/>
      <c r="M130" s="80"/>
      <c r="N130" s="80"/>
      <c r="O130" s="46"/>
      <c r="P130" s="46">
        <f>885+5485+885+170+630+2625</f>
        <v>10680</v>
      </c>
      <c r="Q130" s="46">
        <v>24670</v>
      </c>
      <c r="R130" s="46">
        <v>66665</v>
      </c>
      <c r="S130" s="85"/>
    </row>
    <row r="131" spans="1:19" hidden="1" x14ac:dyDescent="0.25">
      <c r="A131" s="86"/>
      <c r="B131" s="5" t="s">
        <v>143</v>
      </c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46"/>
      <c r="P131" s="46">
        <v>62175</v>
      </c>
      <c r="Q131" s="46">
        <v>68299</v>
      </c>
      <c r="R131" s="46">
        <v>53444</v>
      </c>
      <c r="S131" s="85">
        <v>22900</v>
      </c>
    </row>
    <row r="132" spans="1:19" hidden="1" x14ac:dyDescent="0.25">
      <c r="A132" s="86"/>
      <c r="B132" s="5"/>
      <c r="C132" s="80"/>
      <c r="D132" s="80"/>
      <c r="E132" s="80"/>
      <c r="F132" s="80"/>
      <c r="G132" s="80"/>
      <c r="H132" s="80"/>
      <c r="I132" s="80"/>
      <c r="J132" s="80"/>
      <c r="K132" s="80"/>
      <c r="L132" s="80"/>
      <c r="M132" s="80"/>
      <c r="N132" s="80"/>
      <c r="O132" s="46"/>
      <c r="P132" s="46"/>
      <c r="Q132" s="46"/>
      <c r="R132" s="46"/>
      <c r="S132" s="85"/>
    </row>
    <row r="133" spans="1:19" hidden="1" x14ac:dyDescent="0.25">
      <c r="A133" s="86"/>
      <c r="B133" s="5"/>
      <c r="C133" s="80"/>
      <c r="D133" s="80"/>
      <c r="E133" s="80"/>
      <c r="F133" s="80"/>
      <c r="G133" s="80"/>
      <c r="H133" s="80"/>
      <c r="I133" s="80"/>
      <c r="J133" s="80"/>
      <c r="K133" s="80"/>
      <c r="L133" s="80"/>
      <c r="M133" s="80"/>
      <c r="N133" s="80"/>
      <c r="O133" s="46"/>
      <c r="P133" s="46"/>
      <c r="Q133" s="46"/>
      <c r="R133" s="46"/>
      <c r="S133" s="85"/>
    </row>
    <row r="134" spans="1:19" hidden="1" x14ac:dyDescent="0.25">
      <c r="A134" s="86"/>
      <c r="B134" s="5"/>
      <c r="C134" s="80"/>
      <c r="D134" s="80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46"/>
      <c r="P134" s="46"/>
      <c r="Q134" s="46"/>
      <c r="R134" s="46"/>
      <c r="S134" s="85"/>
    </row>
    <row r="135" spans="1:19" hidden="1" x14ac:dyDescent="0.25">
      <c r="A135" s="86"/>
      <c r="B135" s="5"/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46"/>
      <c r="P135" s="46"/>
      <c r="Q135" s="46"/>
      <c r="R135" s="46"/>
      <c r="S135" s="85"/>
    </row>
    <row r="136" spans="1:19" hidden="1" x14ac:dyDescent="0.25">
      <c r="A136" s="86"/>
      <c r="B136" s="5" t="s">
        <v>136</v>
      </c>
      <c r="C136" s="80"/>
      <c r="D136" s="80"/>
      <c r="E136" s="80"/>
      <c r="F136" s="80"/>
      <c r="G136" s="80"/>
      <c r="H136" s="80"/>
      <c r="I136" s="80"/>
      <c r="J136" s="80"/>
      <c r="K136" s="80"/>
      <c r="L136" s="80"/>
      <c r="M136" s="80"/>
      <c r="N136" s="80"/>
      <c r="O136" s="46"/>
      <c r="P136" s="46"/>
      <c r="Q136" s="46"/>
      <c r="R136" s="46"/>
      <c r="S136" s="85"/>
    </row>
    <row r="137" spans="1:19" hidden="1" x14ac:dyDescent="0.25">
      <c r="A137" s="86"/>
      <c r="B137" s="5" t="s">
        <v>137</v>
      </c>
      <c r="C137" s="80"/>
      <c r="D137" s="80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46"/>
      <c r="P137" s="46"/>
      <c r="Q137" s="46"/>
      <c r="R137" s="46"/>
      <c r="S137" s="85"/>
    </row>
    <row r="138" spans="1:19" hidden="1" x14ac:dyDescent="0.25">
      <c r="A138" s="86"/>
      <c r="B138" s="5" t="s">
        <v>138</v>
      </c>
      <c r="C138" s="80"/>
      <c r="D138" s="80"/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46"/>
      <c r="P138" s="46"/>
      <c r="Q138" s="46"/>
      <c r="R138" s="46"/>
      <c r="S138" s="85"/>
    </row>
    <row r="139" spans="1:19" hidden="1" x14ac:dyDescent="0.25">
      <c r="A139" s="86"/>
      <c r="B139" s="5" t="s">
        <v>139</v>
      </c>
      <c r="C139" s="80"/>
      <c r="D139" s="80"/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46"/>
      <c r="P139" s="46"/>
      <c r="Q139" s="46"/>
      <c r="R139" s="46"/>
      <c r="S139" s="85"/>
    </row>
    <row r="140" spans="1:19" hidden="1" x14ac:dyDescent="0.25">
      <c r="A140" s="86"/>
      <c r="B140" s="5" t="s">
        <v>140</v>
      </c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46"/>
      <c r="P140" s="46"/>
      <c r="Q140" s="46"/>
      <c r="R140" s="46"/>
      <c r="S140" s="85"/>
    </row>
    <row r="141" spans="1:19" hidden="1" x14ac:dyDescent="0.25">
      <c r="A141" s="86"/>
      <c r="B141" s="86" t="s">
        <v>141</v>
      </c>
      <c r="C141" s="80"/>
      <c r="D141" s="80"/>
      <c r="E141" s="80"/>
      <c r="F141" s="80"/>
      <c r="G141" s="80"/>
      <c r="H141" s="80"/>
      <c r="I141" s="80"/>
      <c r="J141" s="80"/>
      <c r="K141" s="80"/>
      <c r="L141" s="80"/>
      <c r="M141" s="80"/>
      <c r="N141" s="80"/>
      <c r="O141" s="46"/>
      <c r="P141" s="46"/>
      <c r="Q141" s="46"/>
      <c r="R141" s="46"/>
      <c r="S141" s="85"/>
    </row>
    <row r="142" spans="1:19" hidden="1" x14ac:dyDescent="0.25">
      <c r="A142" s="86"/>
      <c r="B142" s="86"/>
      <c r="C142" s="80"/>
      <c r="D142" s="80"/>
      <c r="E142" s="80"/>
      <c r="F142" s="80"/>
      <c r="G142" s="80"/>
      <c r="H142" s="80"/>
      <c r="I142" s="80"/>
      <c r="J142" s="80"/>
      <c r="K142" s="80"/>
      <c r="L142" s="80"/>
      <c r="M142" s="80"/>
      <c r="N142" s="80"/>
      <c r="O142" s="46"/>
      <c r="P142" s="46"/>
      <c r="Q142" s="46"/>
      <c r="R142" s="46"/>
      <c r="S142" s="85"/>
    </row>
    <row r="143" spans="1:19" hidden="1" x14ac:dyDescent="0.25">
      <c r="A143" s="5"/>
      <c r="H143" s="2"/>
      <c r="I143" s="2"/>
      <c r="J143" s="6"/>
      <c r="Q143" s="66"/>
      <c r="R143" s="66"/>
      <c r="S143" s="66"/>
    </row>
    <row r="144" spans="1:19" ht="13.8" thickBot="1" x14ac:dyDescent="0.3">
      <c r="A144" s="5" t="s">
        <v>29</v>
      </c>
      <c r="H144" s="2"/>
      <c r="I144" s="2"/>
      <c r="J144" s="6"/>
      <c r="N144" s="80">
        <f t="shared" ref="N144:R144" si="22">N125+N112</f>
        <v>5423163.3799999999</v>
      </c>
      <c r="O144" s="89">
        <f t="shared" si="22"/>
        <v>5060910.4499999993</v>
      </c>
      <c r="P144" s="89">
        <f t="shared" si="22"/>
        <v>6102967.9199999999</v>
      </c>
      <c r="Q144" s="89">
        <f t="shared" si="22"/>
        <v>6859431.1500000004</v>
      </c>
      <c r="R144" s="89">
        <f t="shared" si="22"/>
        <v>6185745.330000001</v>
      </c>
      <c r="S144" s="89">
        <f>S125+S112</f>
        <v>5282942.99</v>
      </c>
    </row>
    <row r="145" spans="1:21" ht="13.8" thickTop="1" x14ac:dyDescent="0.25">
      <c r="A145" s="5"/>
      <c r="H145" s="2"/>
      <c r="I145" s="2"/>
      <c r="J145" s="6"/>
      <c r="Q145" s="66"/>
      <c r="R145" s="66"/>
      <c r="S145" s="66"/>
    </row>
    <row r="146" spans="1:21" x14ac:dyDescent="0.25">
      <c r="A146" s="5"/>
      <c r="H146" s="2"/>
      <c r="I146" s="2"/>
      <c r="J146" s="6"/>
      <c r="Q146" s="66"/>
      <c r="R146" s="66"/>
      <c r="S146" s="66"/>
    </row>
    <row r="147" spans="1:21" x14ac:dyDescent="0.25">
      <c r="A147" s="5"/>
      <c r="H147" s="2"/>
      <c r="I147" s="2"/>
      <c r="J147" s="6"/>
      <c r="Q147" s="66"/>
      <c r="R147" s="66"/>
      <c r="S147" s="66"/>
    </row>
    <row r="148" spans="1:21" x14ac:dyDescent="0.25">
      <c r="A148" s="5"/>
      <c r="H148" s="2"/>
      <c r="I148" s="2"/>
      <c r="J148" s="6"/>
      <c r="Q148" s="66"/>
      <c r="R148" s="66"/>
      <c r="S148" s="66"/>
    </row>
    <row r="149" spans="1:21" x14ac:dyDescent="0.25">
      <c r="A149" s="5"/>
      <c r="H149" s="2"/>
      <c r="I149" s="2"/>
      <c r="J149" s="6"/>
      <c r="Q149" s="66"/>
      <c r="R149" s="66"/>
      <c r="S149" s="66"/>
    </row>
    <row r="150" spans="1:21" x14ac:dyDescent="0.25">
      <c r="A150" s="5"/>
      <c r="H150" s="2"/>
      <c r="I150" s="2"/>
      <c r="J150" s="6"/>
      <c r="Q150" s="66"/>
      <c r="R150" s="66"/>
      <c r="S150" s="66"/>
    </row>
    <row r="151" spans="1:21" x14ac:dyDescent="0.25">
      <c r="H151" s="2"/>
      <c r="I151" s="2"/>
      <c r="J151" s="2"/>
      <c r="N151" s="27"/>
      <c r="P151" s="27"/>
      <c r="Q151" s="65"/>
      <c r="R151" s="65"/>
      <c r="S151" s="65"/>
      <c r="T151" s="27"/>
      <c r="U151" s="27"/>
    </row>
    <row r="152" spans="1:21" ht="26.4" hidden="1" x14ac:dyDescent="0.25">
      <c r="A152" s="30"/>
      <c r="B152" s="49"/>
      <c r="C152" s="36" t="s">
        <v>56</v>
      </c>
      <c r="D152" s="36" t="s">
        <v>57</v>
      </c>
      <c r="E152" s="44" t="s">
        <v>63</v>
      </c>
      <c r="F152" s="36" t="s">
        <v>64</v>
      </c>
      <c r="G152" s="36" t="s">
        <v>65</v>
      </c>
      <c r="H152" s="36" t="s">
        <v>66</v>
      </c>
      <c r="I152" s="36" t="s">
        <v>67</v>
      </c>
      <c r="J152" s="44" t="s">
        <v>68</v>
      </c>
      <c r="K152" s="36" t="s">
        <v>69</v>
      </c>
      <c r="L152" s="50" t="s">
        <v>70</v>
      </c>
      <c r="N152" s="33"/>
      <c r="P152" s="33"/>
      <c r="Q152" s="68"/>
      <c r="R152" s="68"/>
      <c r="S152" s="68"/>
      <c r="T152" s="33"/>
      <c r="U152" s="33"/>
    </row>
    <row r="153" spans="1:21" ht="13.8" hidden="1" thickBot="1" x14ac:dyDescent="0.3">
      <c r="A153" s="31" t="s">
        <v>58</v>
      </c>
      <c r="B153" s="32"/>
      <c r="C153" s="38" t="s">
        <v>59</v>
      </c>
      <c r="D153" s="39" t="s">
        <v>59</v>
      </c>
      <c r="E153" s="37" t="s">
        <v>59</v>
      </c>
      <c r="F153" s="38" t="s">
        <v>59</v>
      </c>
      <c r="G153" s="38" t="s">
        <v>59</v>
      </c>
      <c r="H153" s="38" t="s">
        <v>59</v>
      </c>
      <c r="I153" s="39" t="s">
        <v>59</v>
      </c>
      <c r="J153" s="38" t="s">
        <v>59</v>
      </c>
      <c r="K153" s="38" t="s">
        <v>59</v>
      </c>
      <c r="L153" s="39" t="s">
        <v>59</v>
      </c>
      <c r="N153" s="33"/>
      <c r="P153" s="27"/>
      <c r="Q153" s="65"/>
      <c r="R153" s="65"/>
      <c r="S153" s="65"/>
      <c r="T153" s="27"/>
      <c r="U153" s="27"/>
    </row>
    <row r="154" spans="1:21" hidden="1" x14ac:dyDescent="0.25">
      <c r="A154" s="34"/>
      <c r="B154" s="33"/>
      <c r="C154" s="40"/>
      <c r="D154" s="42"/>
      <c r="E154" s="40"/>
      <c r="F154" s="40"/>
      <c r="G154" s="40"/>
      <c r="H154" s="40"/>
      <c r="I154" s="42"/>
      <c r="J154" s="40"/>
      <c r="K154" s="40"/>
      <c r="L154" s="42"/>
      <c r="N154" s="33"/>
      <c r="P154" s="27"/>
      <c r="Q154" s="65"/>
      <c r="R154" s="65"/>
      <c r="S154" s="65"/>
      <c r="T154" s="27"/>
      <c r="U154" s="27"/>
    </row>
    <row r="155" spans="1:21" hidden="1" x14ac:dyDescent="0.25">
      <c r="A155" s="34" t="s">
        <v>60</v>
      </c>
      <c r="B155" s="33"/>
      <c r="C155" s="40">
        <v>6276482</v>
      </c>
      <c r="D155" s="42">
        <v>6121198</v>
      </c>
      <c r="E155" s="40">
        <v>6235623</v>
      </c>
      <c r="F155" s="40">
        <v>6513444</v>
      </c>
      <c r="G155" s="40">
        <v>7241430</v>
      </c>
      <c r="H155" s="40">
        <v>7032228</v>
      </c>
      <c r="I155" s="42">
        <v>6925061</v>
      </c>
      <c r="J155" s="40">
        <v>6772827</v>
      </c>
      <c r="K155" s="40">
        <v>6681922</v>
      </c>
      <c r="L155" s="42">
        <v>6714591</v>
      </c>
      <c r="N155" s="33"/>
      <c r="P155" s="27"/>
      <c r="Q155" s="65"/>
      <c r="R155" s="65"/>
      <c r="S155" s="65"/>
      <c r="T155" s="27"/>
      <c r="U155" s="27"/>
    </row>
    <row r="156" spans="1:21" hidden="1" x14ac:dyDescent="0.25">
      <c r="A156" s="34"/>
      <c r="B156" s="33"/>
      <c r="C156" s="40"/>
      <c r="D156" s="42"/>
      <c r="E156" s="40"/>
      <c r="F156" s="40"/>
      <c r="G156" s="40"/>
      <c r="H156" s="40"/>
      <c r="I156" s="42"/>
      <c r="J156" s="40"/>
      <c r="K156" s="40"/>
      <c r="L156" s="42"/>
      <c r="N156" s="33"/>
      <c r="P156" s="27"/>
      <c r="Q156" s="65"/>
      <c r="R156" s="65"/>
      <c r="S156" s="65"/>
      <c r="T156" s="27"/>
      <c r="U156" s="27"/>
    </row>
    <row r="157" spans="1:21" hidden="1" x14ac:dyDescent="0.25">
      <c r="A157" s="34" t="s">
        <v>61</v>
      </c>
      <c r="B157" s="33"/>
      <c r="C157" s="40">
        <v>2867963</v>
      </c>
      <c r="D157" s="42">
        <v>3159332</v>
      </c>
      <c r="E157" s="40">
        <v>3334703</v>
      </c>
      <c r="F157" s="40">
        <v>3537311</v>
      </c>
      <c r="G157" s="40">
        <v>3891645</v>
      </c>
      <c r="H157" s="40">
        <v>3945731</v>
      </c>
      <c r="I157" s="42">
        <v>4199227</v>
      </c>
      <c r="J157" s="40">
        <v>4212701</v>
      </c>
      <c r="K157" s="40">
        <v>4143353</v>
      </c>
      <c r="L157" s="42">
        <v>4652306</v>
      </c>
      <c r="N157" s="33"/>
      <c r="P157" s="27"/>
      <c r="Q157" s="65"/>
      <c r="R157" s="65"/>
      <c r="S157" s="65"/>
      <c r="T157" s="27"/>
      <c r="U157" s="27"/>
    </row>
    <row r="158" spans="1:21" ht="13.8" hidden="1" thickBot="1" x14ac:dyDescent="0.3">
      <c r="A158" s="34"/>
      <c r="B158" s="35"/>
      <c r="C158" s="41"/>
      <c r="D158" s="43"/>
      <c r="E158" s="41"/>
      <c r="F158" s="41"/>
      <c r="G158" s="41"/>
      <c r="H158" s="41"/>
      <c r="I158" s="43"/>
      <c r="J158" s="41"/>
      <c r="K158" s="41"/>
      <c r="L158" s="43"/>
      <c r="N158" s="33"/>
      <c r="P158" s="27"/>
      <c r="Q158" s="65"/>
      <c r="R158" s="65"/>
      <c r="S158" s="65"/>
      <c r="T158" s="27"/>
      <c r="U158" s="27"/>
    </row>
    <row r="159" spans="1:21" hidden="1" x14ac:dyDescent="0.25">
      <c r="A159" s="34" t="s">
        <v>62</v>
      </c>
      <c r="B159" s="33"/>
      <c r="C159" s="40">
        <f t="shared" ref="C159" si="23">SUM(C155:C158)</f>
        <v>9144445</v>
      </c>
      <c r="D159" s="42">
        <f>SUM(D155:D158)</f>
        <v>9280530</v>
      </c>
      <c r="E159" s="40">
        <v>9570326</v>
      </c>
      <c r="F159" s="40">
        <v>10050755</v>
      </c>
      <c r="G159" s="40">
        <v>11133075</v>
      </c>
      <c r="H159" s="40">
        <v>10977959</v>
      </c>
      <c r="I159" s="42">
        <v>11124288</v>
      </c>
      <c r="J159" s="40">
        <v>10985528</v>
      </c>
      <c r="K159" s="40">
        <v>10825275</v>
      </c>
      <c r="L159" s="42">
        <v>11366897</v>
      </c>
      <c r="N159" s="33"/>
      <c r="P159" s="27"/>
      <c r="Q159" s="65"/>
      <c r="R159" s="65"/>
      <c r="S159" s="65"/>
      <c r="T159" s="27"/>
      <c r="U159" s="27"/>
    </row>
    <row r="160" spans="1:21" ht="13.8" hidden="1" thickBot="1" x14ac:dyDescent="0.3">
      <c r="A160" s="31"/>
      <c r="B160" s="35"/>
      <c r="C160" s="41"/>
      <c r="D160" s="43"/>
      <c r="E160" s="41"/>
      <c r="F160" s="41"/>
      <c r="G160" s="41"/>
      <c r="H160" s="41"/>
      <c r="I160" s="43"/>
      <c r="J160" s="41"/>
      <c r="K160" s="41"/>
      <c r="L160" s="43"/>
      <c r="N160" s="27"/>
      <c r="Q160" s="66"/>
      <c r="R160" s="66"/>
      <c r="S160" s="66"/>
    </row>
    <row r="161" spans="8:19" hidden="1" x14ac:dyDescent="0.25">
      <c r="H161" s="2"/>
      <c r="I161" s="2"/>
      <c r="J161" s="15"/>
      <c r="Q161" s="66"/>
      <c r="R161" s="66"/>
      <c r="S161" s="66"/>
    </row>
    <row r="162" spans="8:19" x14ac:dyDescent="0.25">
      <c r="J162" s="15"/>
      <c r="Q162" s="66"/>
      <c r="R162" s="66"/>
      <c r="S162" s="66"/>
    </row>
    <row r="163" spans="8:19" x14ac:dyDescent="0.25">
      <c r="J163" s="15"/>
      <c r="Q163" s="66"/>
      <c r="R163" s="66"/>
      <c r="S163" s="66"/>
    </row>
    <row r="164" spans="8:19" x14ac:dyDescent="0.25">
      <c r="J164" s="15"/>
      <c r="Q164" s="66"/>
      <c r="R164" s="66"/>
      <c r="S164" s="66"/>
    </row>
    <row r="165" spans="8:19" x14ac:dyDescent="0.25">
      <c r="J165" s="15"/>
      <c r="Q165" s="66"/>
      <c r="R165" s="66"/>
      <c r="S165" s="66"/>
    </row>
    <row r="166" spans="8:19" x14ac:dyDescent="0.25">
      <c r="J166" s="15"/>
      <c r="Q166" s="66"/>
      <c r="R166" s="66"/>
      <c r="S166" s="66"/>
    </row>
    <row r="167" spans="8:19" x14ac:dyDescent="0.25">
      <c r="J167" s="15"/>
      <c r="Q167" s="66"/>
      <c r="R167" s="66"/>
      <c r="S167" s="66"/>
    </row>
    <row r="168" spans="8:19" x14ac:dyDescent="0.25">
      <c r="J168" s="15"/>
      <c r="Q168" s="66"/>
      <c r="R168" s="66"/>
      <c r="S168" s="66"/>
    </row>
    <row r="169" spans="8:19" x14ac:dyDescent="0.25">
      <c r="J169" s="15"/>
      <c r="Q169" s="66"/>
      <c r="R169" s="66"/>
      <c r="S169" s="66"/>
    </row>
    <row r="170" spans="8:19" x14ac:dyDescent="0.25">
      <c r="J170" s="15"/>
      <c r="Q170" s="66"/>
      <c r="R170" s="66"/>
      <c r="S170" s="66"/>
    </row>
    <row r="171" spans="8:19" x14ac:dyDescent="0.25">
      <c r="J171" s="15"/>
      <c r="Q171" s="66"/>
      <c r="R171" s="66"/>
      <c r="S171" s="66"/>
    </row>
    <row r="172" spans="8:19" x14ac:dyDescent="0.25">
      <c r="J172" s="15"/>
      <c r="Q172" s="66"/>
      <c r="R172" s="66"/>
      <c r="S172" s="66"/>
    </row>
    <row r="173" spans="8:19" x14ac:dyDescent="0.25">
      <c r="J173" s="15"/>
      <c r="Q173" s="66"/>
      <c r="R173" s="66"/>
      <c r="S173" s="66"/>
    </row>
    <row r="174" spans="8:19" x14ac:dyDescent="0.25">
      <c r="J174" s="15"/>
      <c r="Q174" s="66"/>
      <c r="R174" s="66"/>
      <c r="S174" s="66"/>
    </row>
    <row r="175" spans="8:19" x14ac:dyDescent="0.25">
      <c r="J175" s="15"/>
      <c r="Q175" s="66"/>
      <c r="R175" s="66"/>
      <c r="S175" s="66"/>
    </row>
    <row r="176" spans="8:19" x14ac:dyDescent="0.25">
      <c r="J176" s="15"/>
      <c r="Q176" s="66"/>
      <c r="R176" s="66"/>
      <c r="S176" s="66"/>
    </row>
    <row r="177" spans="10:19" x14ac:dyDescent="0.25">
      <c r="J177" s="15"/>
      <c r="Q177" s="66"/>
      <c r="R177" s="66"/>
      <c r="S177" s="66"/>
    </row>
    <row r="178" spans="10:19" x14ac:dyDescent="0.25">
      <c r="J178" s="15"/>
      <c r="Q178" s="66"/>
      <c r="R178" s="66"/>
      <c r="S178" s="66"/>
    </row>
    <row r="179" spans="10:19" x14ac:dyDescent="0.25">
      <c r="J179" s="15"/>
      <c r="Q179" s="66"/>
      <c r="R179" s="66"/>
      <c r="S179" s="66"/>
    </row>
    <row r="180" spans="10:19" x14ac:dyDescent="0.25">
      <c r="J180" s="15"/>
      <c r="Q180" s="66"/>
      <c r="R180" s="66"/>
      <c r="S180" s="66"/>
    </row>
    <row r="181" spans="10:19" x14ac:dyDescent="0.25">
      <c r="J181" s="15"/>
      <c r="Q181" s="66"/>
      <c r="R181" s="66"/>
      <c r="S181" s="66"/>
    </row>
    <row r="182" spans="10:19" x14ac:dyDescent="0.25">
      <c r="J182" s="15"/>
      <c r="Q182" s="66"/>
      <c r="R182" s="66"/>
      <c r="S182" s="66"/>
    </row>
    <row r="183" spans="10:19" x14ac:dyDescent="0.25">
      <c r="J183" s="15"/>
      <c r="Q183" s="66"/>
      <c r="R183" s="66"/>
      <c r="S183" s="66"/>
    </row>
    <row r="184" spans="10:19" x14ac:dyDescent="0.25">
      <c r="J184" s="15"/>
      <c r="Q184" s="66"/>
      <c r="R184" s="66"/>
      <c r="S184" s="66"/>
    </row>
    <row r="185" spans="10:19" x14ac:dyDescent="0.25">
      <c r="J185" s="15"/>
      <c r="Q185" s="66"/>
      <c r="R185" s="66"/>
      <c r="S185" s="66"/>
    </row>
    <row r="186" spans="10:19" x14ac:dyDescent="0.25">
      <c r="J186" s="15"/>
      <c r="Q186" s="66"/>
      <c r="R186" s="66"/>
      <c r="S186" s="66"/>
    </row>
    <row r="187" spans="10:19" x14ac:dyDescent="0.25">
      <c r="J187" s="15"/>
      <c r="Q187" s="66"/>
      <c r="R187" s="66"/>
      <c r="S187" s="66"/>
    </row>
    <row r="188" spans="10:19" x14ac:dyDescent="0.25">
      <c r="J188" s="15"/>
      <c r="Q188" s="66"/>
      <c r="R188" s="66"/>
      <c r="S188" s="66"/>
    </row>
    <row r="189" spans="10:19" x14ac:dyDescent="0.25">
      <c r="J189" s="15"/>
    </row>
    <row r="190" spans="10:19" x14ac:dyDescent="0.25">
      <c r="J190" s="15"/>
    </row>
    <row r="191" spans="10:19" x14ac:dyDescent="0.25">
      <c r="J191" s="15"/>
    </row>
    <row r="192" spans="10:19" x14ac:dyDescent="0.25">
      <c r="J192" s="15"/>
    </row>
    <row r="193" spans="10:10" x14ac:dyDescent="0.25">
      <c r="J193" s="15"/>
    </row>
    <row r="194" spans="10:10" x14ac:dyDescent="0.25">
      <c r="J194" s="15"/>
    </row>
    <row r="195" spans="10:10" x14ac:dyDescent="0.25">
      <c r="J195" s="15"/>
    </row>
    <row r="196" spans="10:10" x14ac:dyDescent="0.25">
      <c r="J196" s="15"/>
    </row>
    <row r="197" spans="10:10" x14ac:dyDescent="0.25">
      <c r="J197" s="15"/>
    </row>
    <row r="198" spans="10:10" x14ac:dyDescent="0.25">
      <c r="J198" s="15"/>
    </row>
    <row r="199" spans="10:10" x14ac:dyDescent="0.25">
      <c r="J199" s="15"/>
    </row>
    <row r="200" spans="10:10" x14ac:dyDescent="0.25">
      <c r="J200" s="15"/>
    </row>
    <row r="201" spans="10:10" x14ac:dyDescent="0.25">
      <c r="J201" s="15"/>
    </row>
    <row r="202" spans="10:10" x14ac:dyDescent="0.25">
      <c r="J202" s="15"/>
    </row>
    <row r="203" spans="10:10" x14ac:dyDescent="0.25">
      <c r="J203" s="15"/>
    </row>
    <row r="204" spans="10:10" x14ac:dyDescent="0.25">
      <c r="J204" s="15"/>
    </row>
    <row r="205" spans="10:10" x14ac:dyDescent="0.25">
      <c r="J205" s="15"/>
    </row>
    <row r="206" spans="10:10" x14ac:dyDescent="0.25">
      <c r="J206" s="15"/>
    </row>
    <row r="207" spans="10:10" x14ac:dyDescent="0.25">
      <c r="J207" s="15"/>
    </row>
    <row r="208" spans="10:10" x14ac:dyDescent="0.25">
      <c r="J208" s="15"/>
    </row>
    <row r="209" spans="10:10" x14ac:dyDescent="0.25">
      <c r="J209" s="15"/>
    </row>
    <row r="210" spans="10:10" x14ac:dyDescent="0.25">
      <c r="J210" s="15"/>
    </row>
    <row r="211" spans="10:10" x14ac:dyDescent="0.25">
      <c r="J211" s="15"/>
    </row>
    <row r="212" spans="10:10" x14ac:dyDescent="0.25">
      <c r="J212" s="15"/>
    </row>
    <row r="213" spans="10:10" x14ac:dyDescent="0.25">
      <c r="J213" s="15"/>
    </row>
    <row r="214" spans="10:10" x14ac:dyDescent="0.25">
      <c r="J214" s="15"/>
    </row>
    <row r="215" spans="10:10" x14ac:dyDescent="0.25">
      <c r="J215" s="15"/>
    </row>
    <row r="216" spans="10:10" x14ac:dyDescent="0.25">
      <c r="J216" s="15"/>
    </row>
    <row r="217" spans="10:10" x14ac:dyDescent="0.25">
      <c r="J217" s="15"/>
    </row>
    <row r="218" spans="10:10" x14ac:dyDescent="0.25">
      <c r="J218" s="15"/>
    </row>
    <row r="219" spans="10:10" x14ac:dyDescent="0.25">
      <c r="J219" s="15"/>
    </row>
    <row r="220" spans="10:10" x14ac:dyDescent="0.25">
      <c r="J220" s="15"/>
    </row>
    <row r="221" spans="10:10" x14ac:dyDescent="0.25">
      <c r="J221" s="15"/>
    </row>
    <row r="222" spans="10:10" x14ac:dyDescent="0.25">
      <c r="J222" s="15"/>
    </row>
    <row r="223" spans="10:10" x14ac:dyDescent="0.25">
      <c r="J223" s="15"/>
    </row>
    <row r="224" spans="10:10" x14ac:dyDescent="0.25">
      <c r="J224" s="15"/>
    </row>
    <row r="225" spans="10:10" x14ac:dyDescent="0.25">
      <c r="J225" s="15"/>
    </row>
    <row r="226" spans="10:10" x14ac:dyDescent="0.25">
      <c r="J226" s="15"/>
    </row>
    <row r="227" spans="10:10" x14ac:dyDescent="0.25">
      <c r="J227" s="15"/>
    </row>
    <row r="228" spans="10:10" x14ac:dyDescent="0.25">
      <c r="J228" s="15"/>
    </row>
    <row r="229" spans="10:10" x14ac:dyDescent="0.25">
      <c r="J229" s="15"/>
    </row>
    <row r="230" spans="10:10" x14ac:dyDescent="0.25">
      <c r="J230" s="15"/>
    </row>
    <row r="231" spans="10:10" x14ac:dyDescent="0.25">
      <c r="J231" s="15"/>
    </row>
    <row r="232" spans="10:10" x14ac:dyDescent="0.25">
      <c r="J232" s="15"/>
    </row>
    <row r="233" spans="10:10" x14ac:dyDescent="0.25">
      <c r="J233" s="15"/>
    </row>
    <row r="234" spans="10:10" x14ac:dyDescent="0.25">
      <c r="J234" s="15"/>
    </row>
    <row r="235" spans="10:10" x14ac:dyDescent="0.25">
      <c r="J235" s="15"/>
    </row>
    <row r="236" spans="10:10" x14ac:dyDescent="0.25">
      <c r="J236" s="15"/>
    </row>
    <row r="237" spans="10:10" x14ac:dyDescent="0.25">
      <c r="J237" s="15"/>
    </row>
    <row r="238" spans="10:10" x14ac:dyDescent="0.25">
      <c r="J238" s="15"/>
    </row>
    <row r="239" spans="10:10" x14ac:dyDescent="0.25">
      <c r="J239" s="15"/>
    </row>
    <row r="240" spans="10:10" x14ac:dyDescent="0.25">
      <c r="J240" s="15"/>
    </row>
    <row r="241" spans="10:10" x14ac:dyDescent="0.25">
      <c r="J241" s="15"/>
    </row>
    <row r="242" spans="10:10" x14ac:dyDescent="0.25">
      <c r="J242" s="15"/>
    </row>
    <row r="243" spans="10:10" x14ac:dyDescent="0.25">
      <c r="J243" s="15"/>
    </row>
    <row r="244" spans="10:10" x14ac:dyDescent="0.25">
      <c r="J244" s="15"/>
    </row>
    <row r="245" spans="10:10" x14ac:dyDescent="0.25">
      <c r="J245" s="15"/>
    </row>
    <row r="246" spans="10:10" x14ac:dyDescent="0.25">
      <c r="J246" s="15"/>
    </row>
    <row r="247" spans="10:10" x14ac:dyDescent="0.25">
      <c r="J247" s="15"/>
    </row>
    <row r="248" spans="10:10" x14ac:dyDescent="0.25">
      <c r="J248" s="15"/>
    </row>
    <row r="249" spans="10:10" x14ac:dyDescent="0.25">
      <c r="J249" s="15"/>
    </row>
    <row r="250" spans="10:10" x14ac:dyDescent="0.25">
      <c r="J250" s="15"/>
    </row>
    <row r="251" spans="10:10" x14ac:dyDescent="0.25">
      <c r="J251" s="15"/>
    </row>
    <row r="252" spans="10:10" x14ac:dyDescent="0.25">
      <c r="J252" s="15"/>
    </row>
    <row r="253" spans="10:10" x14ac:dyDescent="0.25">
      <c r="J253" s="15"/>
    </row>
    <row r="254" spans="10:10" x14ac:dyDescent="0.25">
      <c r="J254" s="15"/>
    </row>
    <row r="255" spans="10:10" x14ac:dyDescent="0.25">
      <c r="J255" s="15"/>
    </row>
    <row r="256" spans="10:10" x14ac:dyDescent="0.25">
      <c r="J256" s="15"/>
    </row>
    <row r="257" spans="10:10" x14ac:dyDescent="0.25">
      <c r="J257" s="15"/>
    </row>
    <row r="258" spans="10:10" x14ac:dyDescent="0.25">
      <c r="J258" s="15"/>
    </row>
    <row r="259" spans="10:10" x14ac:dyDescent="0.25">
      <c r="J259" s="15"/>
    </row>
    <row r="260" spans="10:10" x14ac:dyDescent="0.25">
      <c r="J260" s="15"/>
    </row>
    <row r="261" spans="10:10" x14ac:dyDescent="0.25">
      <c r="J261" s="15"/>
    </row>
    <row r="262" spans="10:10" x14ac:dyDescent="0.25">
      <c r="J262" s="15"/>
    </row>
    <row r="263" spans="10:10" x14ac:dyDescent="0.25">
      <c r="J263" s="15"/>
    </row>
    <row r="264" spans="10:10" x14ac:dyDescent="0.25">
      <c r="J264" s="15"/>
    </row>
    <row r="265" spans="10:10" x14ac:dyDescent="0.25">
      <c r="J265" s="15"/>
    </row>
    <row r="266" spans="10:10" x14ac:dyDescent="0.25">
      <c r="J266" s="15"/>
    </row>
    <row r="267" spans="10:10" x14ac:dyDescent="0.25">
      <c r="J267" s="15"/>
    </row>
    <row r="268" spans="10:10" x14ac:dyDescent="0.25">
      <c r="J268" s="15"/>
    </row>
    <row r="269" spans="10:10" x14ac:dyDescent="0.25">
      <c r="J269" s="15"/>
    </row>
    <row r="270" spans="10:10" x14ac:dyDescent="0.25">
      <c r="J270" s="15"/>
    </row>
    <row r="271" spans="10:10" x14ac:dyDescent="0.25">
      <c r="J271" s="15"/>
    </row>
    <row r="272" spans="10:10" x14ac:dyDescent="0.25">
      <c r="J272" s="15"/>
    </row>
    <row r="273" spans="10:10" x14ac:dyDescent="0.25">
      <c r="J273" s="15"/>
    </row>
    <row r="274" spans="10:10" x14ac:dyDescent="0.25">
      <c r="J274" s="15"/>
    </row>
    <row r="275" spans="10:10" x14ac:dyDescent="0.25">
      <c r="J275" s="15"/>
    </row>
    <row r="276" spans="10:10" x14ac:dyDescent="0.25">
      <c r="J276" s="15"/>
    </row>
    <row r="277" spans="10:10" x14ac:dyDescent="0.25">
      <c r="J277" s="15"/>
    </row>
    <row r="278" spans="10:10" x14ac:dyDescent="0.25">
      <c r="J278" s="15"/>
    </row>
    <row r="279" spans="10:10" x14ac:dyDescent="0.25">
      <c r="J279" s="15"/>
    </row>
    <row r="280" spans="10:10" x14ac:dyDescent="0.25">
      <c r="J280" s="15"/>
    </row>
    <row r="281" spans="10:10" x14ac:dyDescent="0.25">
      <c r="J281" s="15"/>
    </row>
    <row r="282" spans="10:10" x14ac:dyDescent="0.25">
      <c r="J282" s="15"/>
    </row>
    <row r="283" spans="10:10" x14ac:dyDescent="0.25">
      <c r="J283" s="15"/>
    </row>
    <row r="284" spans="10:10" x14ac:dyDescent="0.25">
      <c r="J284" s="15"/>
    </row>
    <row r="285" spans="10:10" x14ac:dyDescent="0.25">
      <c r="J285" s="15"/>
    </row>
    <row r="286" spans="10:10" x14ac:dyDescent="0.25">
      <c r="J286" s="15"/>
    </row>
    <row r="287" spans="10:10" x14ac:dyDescent="0.25">
      <c r="J287" s="15"/>
    </row>
    <row r="288" spans="10:10" x14ac:dyDescent="0.25">
      <c r="J288" s="15"/>
    </row>
    <row r="289" spans="10:10" x14ac:dyDescent="0.25">
      <c r="J289" s="15"/>
    </row>
    <row r="290" spans="10:10" x14ac:dyDescent="0.25">
      <c r="J290" s="15"/>
    </row>
    <row r="291" spans="10:10" x14ac:dyDescent="0.25">
      <c r="J291" s="15"/>
    </row>
    <row r="292" spans="10:10" x14ac:dyDescent="0.25">
      <c r="J292" s="15"/>
    </row>
    <row r="293" spans="10:10" x14ac:dyDescent="0.25">
      <c r="J293" s="15"/>
    </row>
    <row r="294" spans="10:10" x14ac:dyDescent="0.25">
      <c r="J294" s="15"/>
    </row>
    <row r="295" spans="10:10" x14ac:dyDescent="0.25">
      <c r="J295" s="15"/>
    </row>
    <row r="296" spans="10:10" x14ac:dyDescent="0.25">
      <c r="J296" s="15"/>
    </row>
    <row r="297" spans="10:10" x14ac:dyDescent="0.25">
      <c r="J297" s="15"/>
    </row>
    <row r="298" spans="10:10" x14ac:dyDescent="0.25">
      <c r="J298" s="15"/>
    </row>
    <row r="299" spans="10:10" x14ac:dyDescent="0.25">
      <c r="J299" s="15"/>
    </row>
    <row r="300" spans="10:10" x14ac:dyDescent="0.25">
      <c r="J300" s="15"/>
    </row>
    <row r="301" spans="10:10" x14ac:dyDescent="0.25">
      <c r="J301" s="15"/>
    </row>
    <row r="302" spans="10:10" x14ac:dyDescent="0.25">
      <c r="J302" s="15"/>
    </row>
    <row r="303" spans="10:10" x14ac:dyDescent="0.25">
      <c r="J303" s="15"/>
    </row>
    <row r="304" spans="10:10" x14ac:dyDescent="0.25">
      <c r="J304" s="15"/>
    </row>
    <row r="305" spans="10:10" x14ac:dyDescent="0.25">
      <c r="J305" s="15"/>
    </row>
    <row r="306" spans="10:10" x14ac:dyDescent="0.25">
      <c r="J306" s="15"/>
    </row>
    <row r="307" spans="10:10" x14ac:dyDescent="0.25">
      <c r="J307" s="15"/>
    </row>
    <row r="308" spans="10:10" x14ac:dyDescent="0.25">
      <c r="J308" s="15"/>
    </row>
    <row r="309" spans="10:10" x14ac:dyDescent="0.25">
      <c r="J309" s="15"/>
    </row>
    <row r="310" spans="10:10" x14ac:dyDescent="0.25">
      <c r="J310" s="15"/>
    </row>
    <row r="311" spans="10:10" x14ac:dyDescent="0.25">
      <c r="J311" s="15"/>
    </row>
    <row r="312" spans="10:10" x14ac:dyDescent="0.25">
      <c r="J312" s="15"/>
    </row>
    <row r="313" spans="10:10" x14ac:dyDescent="0.25">
      <c r="J313" s="15"/>
    </row>
    <row r="314" spans="10:10" x14ac:dyDescent="0.25">
      <c r="J314" s="15"/>
    </row>
    <row r="315" spans="10:10" x14ac:dyDescent="0.25">
      <c r="J315" s="15"/>
    </row>
    <row r="316" spans="10:10" x14ac:dyDescent="0.25">
      <c r="J316" s="15"/>
    </row>
    <row r="317" spans="10:10" x14ac:dyDescent="0.25">
      <c r="J317" s="15"/>
    </row>
    <row r="318" spans="10:10" x14ac:dyDescent="0.25">
      <c r="J318" s="15"/>
    </row>
    <row r="319" spans="10:10" x14ac:dyDescent="0.25">
      <c r="J319" s="15"/>
    </row>
    <row r="320" spans="10:10" x14ac:dyDescent="0.25">
      <c r="J320" s="15"/>
    </row>
    <row r="321" spans="10:10" x14ac:dyDescent="0.25">
      <c r="J321" s="15"/>
    </row>
    <row r="322" spans="10:10" x14ac:dyDescent="0.25">
      <c r="J322" s="15"/>
    </row>
    <row r="323" spans="10:10" x14ac:dyDescent="0.25">
      <c r="J323" s="15"/>
    </row>
    <row r="324" spans="10:10" x14ac:dyDescent="0.25">
      <c r="J324" s="15"/>
    </row>
    <row r="325" spans="10:10" x14ac:dyDescent="0.25">
      <c r="J325" s="15"/>
    </row>
    <row r="326" spans="10:10" x14ac:dyDescent="0.25">
      <c r="J326" s="15"/>
    </row>
    <row r="327" spans="10:10" x14ac:dyDescent="0.25">
      <c r="J327" s="15"/>
    </row>
    <row r="328" spans="10:10" x14ac:dyDescent="0.25">
      <c r="J328" s="15"/>
    </row>
    <row r="329" spans="10:10" x14ac:dyDescent="0.25">
      <c r="J329" s="15"/>
    </row>
    <row r="330" spans="10:10" x14ac:dyDescent="0.25">
      <c r="J330" s="15"/>
    </row>
    <row r="331" spans="10:10" x14ac:dyDescent="0.25">
      <c r="J331" s="15"/>
    </row>
    <row r="332" spans="10:10" x14ac:dyDescent="0.25">
      <c r="J332" s="15"/>
    </row>
    <row r="333" spans="10:10" x14ac:dyDescent="0.25">
      <c r="J333" s="15"/>
    </row>
    <row r="334" spans="10:10" x14ac:dyDescent="0.25">
      <c r="J334" s="15"/>
    </row>
    <row r="335" spans="10:10" x14ac:dyDescent="0.25">
      <c r="J335" s="15"/>
    </row>
    <row r="336" spans="10:10" x14ac:dyDescent="0.25">
      <c r="J336" s="15"/>
    </row>
    <row r="337" spans="10:10" x14ac:dyDescent="0.25">
      <c r="J337" s="15"/>
    </row>
    <row r="338" spans="10:10" x14ac:dyDescent="0.25">
      <c r="J338" s="15"/>
    </row>
    <row r="339" spans="10:10" x14ac:dyDescent="0.25">
      <c r="J339" s="15"/>
    </row>
    <row r="340" spans="10:10" x14ac:dyDescent="0.25">
      <c r="J340" s="15"/>
    </row>
    <row r="341" spans="10:10" x14ac:dyDescent="0.25">
      <c r="J341" s="15"/>
    </row>
    <row r="342" spans="10:10" x14ac:dyDescent="0.25">
      <c r="J342" s="15"/>
    </row>
    <row r="343" spans="10:10" x14ac:dyDescent="0.25">
      <c r="J343" s="15"/>
    </row>
    <row r="344" spans="10:10" x14ac:dyDescent="0.25">
      <c r="J344" s="15"/>
    </row>
    <row r="345" spans="10:10" x14ac:dyDescent="0.25">
      <c r="J345" s="15"/>
    </row>
    <row r="346" spans="10:10" x14ac:dyDescent="0.25">
      <c r="J346" s="15"/>
    </row>
    <row r="347" spans="10:10" x14ac:dyDescent="0.25">
      <c r="J347" s="15"/>
    </row>
    <row r="348" spans="10:10" x14ac:dyDescent="0.25">
      <c r="J348" s="15"/>
    </row>
    <row r="349" spans="10:10" x14ac:dyDescent="0.25">
      <c r="J349" s="15"/>
    </row>
    <row r="350" spans="10:10" x14ac:dyDescent="0.25">
      <c r="J350" s="15"/>
    </row>
    <row r="351" spans="10:10" x14ac:dyDescent="0.25">
      <c r="J351" s="15"/>
    </row>
    <row r="352" spans="10:10" x14ac:dyDescent="0.25">
      <c r="J352" s="15"/>
    </row>
    <row r="353" spans="10:10" x14ac:dyDescent="0.25">
      <c r="J353" s="15"/>
    </row>
    <row r="354" spans="10:10" x14ac:dyDescent="0.25">
      <c r="J354" s="15"/>
    </row>
    <row r="355" spans="10:10" x14ac:dyDescent="0.25">
      <c r="J355" s="15"/>
    </row>
    <row r="356" spans="10:10" x14ac:dyDescent="0.25">
      <c r="J356" s="15"/>
    </row>
    <row r="357" spans="10:10" x14ac:dyDescent="0.25">
      <c r="J357" s="15"/>
    </row>
    <row r="358" spans="10:10" x14ac:dyDescent="0.25">
      <c r="J358" s="15"/>
    </row>
    <row r="359" spans="10:10" x14ac:dyDescent="0.25">
      <c r="J359" s="15"/>
    </row>
    <row r="360" spans="10:10" x14ac:dyDescent="0.25">
      <c r="J360" s="15"/>
    </row>
    <row r="361" spans="10:10" x14ac:dyDescent="0.25">
      <c r="J361" s="15"/>
    </row>
    <row r="362" spans="10:10" x14ac:dyDescent="0.25">
      <c r="J362" s="15"/>
    </row>
    <row r="363" spans="10:10" x14ac:dyDescent="0.25">
      <c r="J363" s="15"/>
    </row>
    <row r="364" spans="10:10" x14ac:dyDescent="0.25">
      <c r="J364" s="15"/>
    </row>
    <row r="365" spans="10:10" x14ac:dyDescent="0.25">
      <c r="J365" s="15"/>
    </row>
    <row r="366" spans="10:10" x14ac:dyDescent="0.25">
      <c r="J366" s="15"/>
    </row>
    <row r="367" spans="10:10" x14ac:dyDescent="0.25">
      <c r="J367" s="15"/>
    </row>
    <row r="368" spans="10:10" x14ac:dyDescent="0.25">
      <c r="J368" s="15"/>
    </row>
    <row r="369" spans="10:10" x14ac:dyDescent="0.25">
      <c r="J369" s="15"/>
    </row>
    <row r="370" spans="10:10" x14ac:dyDescent="0.25">
      <c r="J370" s="15"/>
    </row>
    <row r="371" spans="10:10" x14ac:dyDescent="0.25">
      <c r="J371" s="15"/>
    </row>
    <row r="372" spans="10:10" x14ac:dyDescent="0.25">
      <c r="J372" s="15"/>
    </row>
    <row r="373" spans="10:10" x14ac:dyDescent="0.25">
      <c r="J373" s="15"/>
    </row>
    <row r="374" spans="10:10" x14ac:dyDescent="0.25">
      <c r="J374" s="15"/>
    </row>
    <row r="375" spans="10:10" x14ac:dyDescent="0.25">
      <c r="J375" s="15"/>
    </row>
    <row r="376" spans="10:10" x14ac:dyDescent="0.25">
      <c r="J376" s="15"/>
    </row>
    <row r="377" spans="10:10" x14ac:dyDescent="0.25">
      <c r="J377" s="15"/>
    </row>
    <row r="378" spans="10:10" x14ac:dyDescent="0.25">
      <c r="J378" s="15"/>
    </row>
    <row r="379" spans="10:10" x14ac:dyDescent="0.25">
      <c r="J379" s="15"/>
    </row>
    <row r="380" spans="10:10" x14ac:dyDescent="0.25">
      <c r="J380" s="15"/>
    </row>
    <row r="381" spans="10:10" x14ac:dyDescent="0.25">
      <c r="J381" s="15"/>
    </row>
    <row r="382" spans="10:10" x14ac:dyDescent="0.25">
      <c r="J382" s="15"/>
    </row>
    <row r="383" spans="10:10" x14ac:dyDescent="0.25">
      <c r="J383" s="15"/>
    </row>
    <row r="384" spans="10:10" x14ac:dyDescent="0.25">
      <c r="J384" s="15"/>
    </row>
    <row r="385" spans="10:10" x14ac:dyDescent="0.25">
      <c r="J385" s="15"/>
    </row>
    <row r="386" spans="10:10" x14ac:dyDescent="0.25">
      <c r="J386" s="15"/>
    </row>
    <row r="387" spans="10:10" x14ac:dyDescent="0.25">
      <c r="J387" s="15"/>
    </row>
    <row r="388" spans="10:10" x14ac:dyDescent="0.25">
      <c r="J388" s="15"/>
    </row>
    <row r="389" spans="10:10" x14ac:dyDescent="0.25">
      <c r="J389" s="15"/>
    </row>
    <row r="390" spans="10:10" x14ac:dyDescent="0.25">
      <c r="J390" s="15"/>
    </row>
    <row r="391" spans="10:10" x14ac:dyDescent="0.25">
      <c r="J391" s="15"/>
    </row>
    <row r="392" spans="10:10" x14ac:dyDescent="0.25">
      <c r="J392" s="15"/>
    </row>
    <row r="393" spans="10:10" x14ac:dyDescent="0.25">
      <c r="J393" s="15"/>
    </row>
    <row r="394" spans="10:10" x14ac:dyDescent="0.25">
      <c r="J394" s="15"/>
    </row>
    <row r="395" spans="10:10" x14ac:dyDescent="0.25">
      <c r="J395" s="15"/>
    </row>
    <row r="396" spans="10:10" x14ac:dyDescent="0.25">
      <c r="J396" s="15"/>
    </row>
    <row r="397" spans="10:10" x14ac:dyDescent="0.25">
      <c r="J397" s="15"/>
    </row>
    <row r="398" spans="10:10" x14ac:dyDescent="0.25">
      <c r="J398" s="15"/>
    </row>
    <row r="399" spans="10:10" x14ac:dyDescent="0.25">
      <c r="J399" s="15"/>
    </row>
    <row r="400" spans="10:10" x14ac:dyDescent="0.25">
      <c r="J400" s="15"/>
    </row>
    <row r="401" spans="10:10" x14ac:dyDescent="0.25">
      <c r="J401" s="15"/>
    </row>
    <row r="402" spans="10:10" x14ac:dyDescent="0.25">
      <c r="J402" s="15"/>
    </row>
    <row r="403" spans="10:10" x14ac:dyDescent="0.25">
      <c r="J403" s="15"/>
    </row>
    <row r="404" spans="10:10" x14ac:dyDescent="0.25">
      <c r="J404" s="15"/>
    </row>
    <row r="405" spans="10:10" x14ac:dyDescent="0.25">
      <c r="J405" s="15"/>
    </row>
    <row r="406" spans="10:10" x14ac:dyDescent="0.25">
      <c r="J406" s="15"/>
    </row>
    <row r="407" spans="10:10" x14ac:dyDescent="0.25">
      <c r="J407" s="15"/>
    </row>
    <row r="408" spans="10:10" x14ac:dyDescent="0.25">
      <c r="J408" s="15"/>
    </row>
    <row r="409" spans="10:10" x14ac:dyDescent="0.25">
      <c r="J409" s="15"/>
    </row>
    <row r="410" spans="10:10" x14ac:dyDescent="0.25">
      <c r="J410" s="15"/>
    </row>
    <row r="411" spans="10:10" x14ac:dyDescent="0.25">
      <c r="J411" s="15"/>
    </row>
    <row r="412" spans="10:10" x14ac:dyDescent="0.25">
      <c r="J412" s="15"/>
    </row>
    <row r="413" spans="10:10" x14ac:dyDescent="0.25">
      <c r="J413" s="15"/>
    </row>
    <row r="414" spans="10:10" x14ac:dyDescent="0.25">
      <c r="J414" s="15"/>
    </row>
    <row r="415" spans="10:10" x14ac:dyDescent="0.25">
      <c r="J415" s="15"/>
    </row>
    <row r="416" spans="10:10" x14ac:dyDescent="0.25">
      <c r="J416" s="15"/>
    </row>
    <row r="417" spans="10:10" x14ac:dyDescent="0.25">
      <c r="J417" s="15"/>
    </row>
    <row r="418" spans="10:10" x14ac:dyDescent="0.25">
      <c r="J418" s="15"/>
    </row>
    <row r="419" spans="10:10" x14ac:dyDescent="0.25">
      <c r="J419" s="15"/>
    </row>
    <row r="420" spans="10:10" x14ac:dyDescent="0.25">
      <c r="J420" s="15"/>
    </row>
    <row r="421" spans="10:10" x14ac:dyDescent="0.25">
      <c r="J421" s="15"/>
    </row>
    <row r="422" spans="10:10" x14ac:dyDescent="0.25">
      <c r="J422" s="15"/>
    </row>
    <row r="423" spans="10:10" x14ac:dyDescent="0.25">
      <c r="J423" s="15"/>
    </row>
    <row r="424" spans="10:10" x14ac:dyDescent="0.25">
      <c r="J424" s="15"/>
    </row>
    <row r="425" spans="10:10" x14ac:dyDescent="0.25">
      <c r="J425" s="15"/>
    </row>
    <row r="426" spans="10:10" x14ac:dyDescent="0.25">
      <c r="J426" s="15"/>
    </row>
    <row r="427" spans="10:10" x14ac:dyDescent="0.25">
      <c r="J427" s="15"/>
    </row>
    <row r="428" spans="10:10" x14ac:dyDescent="0.25">
      <c r="J428" s="15"/>
    </row>
    <row r="429" spans="10:10" x14ac:dyDescent="0.25">
      <c r="J429" s="15"/>
    </row>
    <row r="430" spans="10:10" x14ac:dyDescent="0.25">
      <c r="J430" s="15"/>
    </row>
    <row r="431" spans="10:10" x14ac:dyDescent="0.25">
      <c r="J431" s="15"/>
    </row>
    <row r="432" spans="10:10" x14ac:dyDescent="0.25">
      <c r="J432" s="15"/>
    </row>
    <row r="433" spans="10:10" x14ac:dyDescent="0.25">
      <c r="J433" s="15"/>
    </row>
    <row r="434" spans="10:10" x14ac:dyDescent="0.25">
      <c r="J434" s="15"/>
    </row>
    <row r="435" spans="10:10" x14ac:dyDescent="0.25">
      <c r="J435" s="15"/>
    </row>
    <row r="436" spans="10:10" x14ac:dyDescent="0.25">
      <c r="J436" s="15"/>
    </row>
    <row r="437" spans="10:10" x14ac:dyDescent="0.25">
      <c r="J437" s="15"/>
    </row>
    <row r="438" spans="10:10" x14ac:dyDescent="0.25">
      <c r="J438" s="15"/>
    </row>
    <row r="439" spans="10:10" x14ac:dyDescent="0.25">
      <c r="J439" s="15"/>
    </row>
    <row r="440" spans="10:10" x14ac:dyDescent="0.25">
      <c r="J440" s="15"/>
    </row>
    <row r="441" spans="10:10" x14ac:dyDescent="0.25">
      <c r="J441" s="15"/>
    </row>
  </sheetData>
  <phoneticPr fontId="2" type="noConversion"/>
  <printOptions horizontalCentered="1"/>
  <pageMargins left="0.25" right="0.25" top="1" bottom="0.5" header="0.3" footer="0.3"/>
  <pageSetup scale="83" fitToHeight="3" orientation="portrait" r:id="rId1"/>
  <headerFooter alignWithMargins="0">
    <oddHeader>&amp;C&amp;"Arial,Bold"&amp;11FACILITIES PLANNING AND MANAGEMENT
SERVICE CONTRACTS
FROM FY2000 THROUGH FY2016</oddHeader>
  </headerFooter>
  <rowBreaks count="1" manualBreakCount="1">
    <brk id="65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service contracts</vt:lpstr>
      <vt:lpstr>Sheet3</vt:lpstr>
      <vt:lpstr>'service contracts'!Print_Area</vt:lpstr>
      <vt:lpstr>'service contracts'!Print_Titles</vt:lpstr>
    </vt:vector>
  </TitlesOfParts>
  <Company>WSU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C. Strickland</dc:creator>
  <cp:lastModifiedBy>Angela Strickland</cp:lastModifiedBy>
  <cp:lastPrinted>2016-02-29T21:04:04Z</cp:lastPrinted>
  <dcterms:created xsi:type="dcterms:W3CDTF">2004-06-16T12:51:48Z</dcterms:created>
  <dcterms:modified xsi:type="dcterms:W3CDTF">2016-10-11T22:36:35Z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