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xl/drawings/drawing12.xml" ContentType="application/vnd.openxmlformats-officedocument.drawingml.chartshapes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3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4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5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16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7.xml" ContentType="application/vnd.openxmlformats-officedocument.drawing+xml"/>
  <Override PartName="/xl/charts/chart27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28.xml" ContentType="application/vnd.openxmlformats-officedocument.drawingml.chart+xml"/>
  <Override PartName="/xl/drawings/drawing20.xml" ContentType="application/vnd.openxmlformats-officedocument.drawingml.chartshapes+xml"/>
  <Override PartName="/xl/charts/chart29.xml" ContentType="application/vnd.openxmlformats-officedocument.drawingml.chart+xml"/>
  <Override PartName="/xl/drawings/drawing21.xml" ContentType="application/vnd.openxmlformats-officedocument.drawingml.chartshapes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22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23.xml" ContentType="application/vnd.openxmlformats-officedocument.drawing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drawings/drawing24.xml" ContentType="application/vnd.openxmlformats-officedocument.drawing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drawings/drawing25.xml" ContentType="application/vnd.openxmlformats-officedocument.drawing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drawings/drawing26.xml" ContentType="application/vnd.openxmlformats-officedocument.drawing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drawings/drawing27.xml" ContentType="application/vnd.openxmlformats-officedocument.drawing+xml"/>
  <Override PartName="/xl/charts/chart50.xml" ContentType="application/vnd.openxmlformats-officedocument.drawingml.chart+xml"/>
  <Override PartName="/xl/drawings/drawing28.xml" ContentType="application/vnd.openxmlformats-officedocument.drawingml.chartshapes+xml"/>
  <Override PartName="/xl/charts/chart51.xml" ContentType="application/vnd.openxmlformats-officedocument.drawingml.chart+xml"/>
  <Override PartName="/xl/drawings/drawing2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1290" windowWidth="18390" windowHeight="5370" tabRatio="773" activeTab="1"/>
  </bookViews>
  <sheets>
    <sheet name="Curb Appeal I &amp; II" sheetId="5" r:id="rId1"/>
    <sheet name="Curb Appeal III &amp; IV" sheetId="21" r:id="rId2"/>
    <sheet name="Survey Projects" sheetId="23" r:id="rId3"/>
    <sheet name="Survey Work Orders" sheetId="4" r:id="rId4"/>
    <sheet name="Custodial" sheetId="12" r:id="rId5"/>
    <sheet name="Engineering" sheetId="13" r:id="rId6"/>
    <sheet name="Grounds" sheetId="1" r:id="rId7"/>
    <sheet name="Trades" sheetId="10" r:id="rId8"/>
    <sheet name="PM3" sheetId="25" r:id="rId9"/>
    <sheet name="PM2" sheetId="20" r:id="rId10"/>
    <sheet name="PM" sheetId="11" r:id="rId11"/>
    <sheet name="D&amp;CS P&amp;E (2)" sheetId="24" r:id="rId12"/>
    <sheet name="D&amp;CS P&amp;E" sheetId="9" r:id="rId13"/>
    <sheet name="D&amp;CS Admin" sheetId="19" r:id="rId14"/>
    <sheet name="Business Services" sheetId="6" r:id="rId15"/>
    <sheet name="FY14 Utilities" sheetId="22" r:id="rId16"/>
    <sheet name="Degree Day Graphs" sheetId="15" r:id="rId17"/>
    <sheet name="FY13 Utilities" sheetId="17" r:id="rId18"/>
    <sheet name="FY12 Utilities" sheetId="16" r:id="rId19"/>
  </sheets>
  <externalReferences>
    <externalReference r:id="rId20"/>
    <externalReference r:id="rId21"/>
    <externalReference r:id="rId22"/>
    <externalReference r:id="rId23"/>
  </externalReferences>
  <definedNames>
    <definedName name="_xlnm.Print_Area" localSheetId="12">'D&amp;CS P&amp;E'!$A$1:$N$40</definedName>
    <definedName name="_xlnm.Print_Area" localSheetId="11">'D&amp;CS P&amp;E (2)'!$A$1:$N$24</definedName>
    <definedName name="_xlnm.Print_Area" localSheetId="16">'Degree Day Graphs'!$A$1:$I$41</definedName>
    <definedName name="_xlnm.Print_Area" localSheetId="18">'FY12 Utilities'!$A$1:$AC$39</definedName>
    <definedName name="_xlnm.Print_Area" localSheetId="15">'FY14 Utilities'!$D$1:$AA$39</definedName>
    <definedName name="_xlnm.Print_Area" localSheetId="2">'Survey Projects'!#REF!</definedName>
    <definedName name="_xlnm.Print_Area" localSheetId="3">'Survey Work Orders'!$P$19</definedName>
  </definedNames>
  <calcPr calcId="145621"/>
</workbook>
</file>

<file path=xl/calcChain.xml><?xml version="1.0" encoding="utf-8"?>
<calcChain xmlns="http://schemas.openxmlformats.org/spreadsheetml/2006/main">
  <c r="B19" i="25" l="1"/>
  <c r="B18" i="25"/>
  <c r="E69" i="6" l="1"/>
  <c r="B69" i="6"/>
  <c r="D69" i="6" s="1"/>
  <c r="B36" i="6" l="1"/>
  <c r="D36" i="6" s="1"/>
  <c r="Q71" i="1" l="1"/>
  <c r="N71" i="1"/>
  <c r="K71" i="1"/>
  <c r="H71" i="1"/>
  <c r="E71" i="1"/>
  <c r="F34" i="1"/>
  <c r="Q71" i="13"/>
  <c r="N71" i="13"/>
  <c r="K71" i="13"/>
  <c r="H71" i="13"/>
  <c r="E71" i="13"/>
  <c r="E34" i="13"/>
  <c r="F34" i="12"/>
  <c r="Q71" i="12"/>
  <c r="N71" i="12"/>
  <c r="K71" i="12"/>
  <c r="H71" i="12"/>
  <c r="E71" i="12"/>
  <c r="Q72" i="10" l="1"/>
  <c r="N72" i="10"/>
  <c r="K72" i="10"/>
  <c r="H72" i="10"/>
  <c r="E72" i="10"/>
  <c r="F35" i="10"/>
  <c r="B148" i="19"/>
  <c r="B111" i="19"/>
  <c r="B70" i="19"/>
  <c r="E4" i="21" l="1"/>
  <c r="E5" i="21" s="1"/>
  <c r="E6" i="21" s="1"/>
  <c r="E7" i="21" s="1"/>
  <c r="E8" i="21" s="1"/>
  <c r="E9" i="21" s="1"/>
  <c r="E10" i="21" s="1"/>
  <c r="E11" i="21" s="1"/>
  <c r="E12" i="21" s="1"/>
  <c r="E13" i="21" s="1"/>
  <c r="E14" i="21" s="1"/>
  <c r="E15" i="21" s="1"/>
  <c r="E16" i="21" s="1"/>
  <c r="E17" i="21" s="1"/>
  <c r="E18" i="21" s="1"/>
  <c r="E19" i="21" s="1"/>
  <c r="E20" i="21" s="1"/>
  <c r="E21" i="21" s="1"/>
  <c r="E22" i="21" s="1"/>
  <c r="E23" i="21" s="1"/>
  <c r="E24" i="21" s="1"/>
  <c r="E25" i="21" s="1"/>
  <c r="E26" i="21" s="1"/>
  <c r="E27" i="21" s="1"/>
  <c r="E28" i="21" s="1"/>
  <c r="E29" i="21" s="1"/>
  <c r="E30" i="21" s="1"/>
  <c r="E31" i="21" s="1"/>
  <c r="E32" i="21" s="1"/>
  <c r="E33" i="21" s="1"/>
  <c r="E34" i="21" s="1"/>
  <c r="E35" i="21" s="1"/>
  <c r="E36" i="21" s="1"/>
  <c r="E37" i="21" s="1"/>
  <c r="E38" i="21" s="1"/>
  <c r="E39" i="21" s="1"/>
  <c r="A44" i="21" l="1"/>
  <c r="A45" i="21" s="1"/>
  <c r="F35" i="6" l="1"/>
  <c r="B35" i="6" s="1"/>
  <c r="D35" i="6" s="1"/>
  <c r="B68" i="6"/>
  <c r="D68" i="6" s="1"/>
  <c r="B147" i="19" l="1"/>
  <c r="B110" i="19"/>
  <c r="B69" i="19"/>
  <c r="B24" i="19"/>
  <c r="Q71" i="10" l="1"/>
  <c r="N71" i="10"/>
  <c r="K71" i="10"/>
  <c r="H71" i="10"/>
  <c r="E71" i="10"/>
  <c r="F34" i="10"/>
  <c r="Q70" i="1"/>
  <c r="N70" i="1"/>
  <c r="K70" i="1"/>
  <c r="H70" i="1"/>
  <c r="E70" i="1"/>
  <c r="F33" i="1"/>
  <c r="Q70" i="13"/>
  <c r="N70" i="13"/>
  <c r="K70" i="13"/>
  <c r="H70" i="13"/>
  <c r="E70" i="13"/>
  <c r="E33" i="13"/>
  <c r="Q70" i="12"/>
  <c r="N70" i="12"/>
  <c r="K70" i="12"/>
  <c r="H70" i="12"/>
  <c r="E70" i="12"/>
  <c r="F33" i="12"/>
  <c r="A41" i="21"/>
  <c r="A42" i="21" s="1"/>
  <c r="A43" i="21" s="1"/>
  <c r="A38" i="21"/>
  <c r="A39" i="21" s="1"/>
  <c r="A40" i="21" s="1"/>
  <c r="F67" i="6" l="1"/>
  <c r="E67" i="6"/>
  <c r="B67" i="6"/>
  <c r="D67" i="6" s="1"/>
  <c r="F34" i="6"/>
  <c r="E34" i="6"/>
  <c r="F33" i="6"/>
  <c r="E33" i="6"/>
  <c r="B33" i="6" l="1"/>
  <c r="D33" i="6" s="1"/>
  <c r="B34" i="6"/>
  <c r="D34" i="6" s="1"/>
  <c r="G33" i="20"/>
  <c r="F68" i="20"/>
  <c r="Q70" i="10" l="1"/>
  <c r="N70" i="10"/>
  <c r="K70" i="10"/>
  <c r="H70" i="10"/>
  <c r="E70" i="10"/>
  <c r="F33" i="10"/>
  <c r="F32" i="1"/>
  <c r="Q69" i="1"/>
  <c r="N69" i="1"/>
  <c r="K69" i="1"/>
  <c r="H69" i="1"/>
  <c r="E69" i="1"/>
  <c r="Q69" i="13"/>
  <c r="N69" i="13"/>
  <c r="K69" i="13"/>
  <c r="H69" i="13"/>
  <c r="E69" i="13"/>
  <c r="E32" i="13"/>
  <c r="F32" i="12"/>
  <c r="E69" i="12"/>
  <c r="H69" i="12"/>
  <c r="K69" i="12"/>
  <c r="N69" i="12"/>
  <c r="Q69" i="12"/>
  <c r="B109" i="19"/>
  <c r="B68" i="19"/>
  <c r="B23" i="19"/>
  <c r="B146" i="19"/>
  <c r="F66" i="6" l="1"/>
  <c r="B66" i="6" s="1"/>
  <c r="D66" i="6" s="1"/>
  <c r="E66" i="6"/>
  <c r="Q69" i="10" l="1"/>
  <c r="N69" i="10"/>
  <c r="K69" i="10"/>
  <c r="H69" i="10"/>
  <c r="E69" i="10"/>
  <c r="F32" i="10"/>
  <c r="Q68" i="1" l="1"/>
  <c r="N68" i="1"/>
  <c r="K68" i="1"/>
  <c r="H68" i="1"/>
  <c r="E68" i="1"/>
  <c r="F31" i="1"/>
  <c r="E31" i="13"/>
  <c r="Q68" i="13"/>
  <c r="N68" i="13"/>
  <c r="K68" i="13"/>
  <c r="H68" i="13"/>
  <c r="E68" i="13"/>
  <c r="Q68" i="12"/>
  <c r="N68" i="12"/>
  <c r="K68" i="12"/>
  <c r="H68" i="12"/>
  <c r="E68" i="12"/>
  <c r="F31" i="12"/>
  <c r="A35" i="21"/>
  <c r="A36" i="21" s="1"/>
  <c r="A37" i="21" s="1"/>
  <c r="F67" i="20" l="1"/>
  <c r="G32" i="20"/>
  <c r="B108" i="19" l="1"/>
  <c r="B67" i="19"/>
  <c r="B22" i="19"/>
  <c r="B145" i="19" l="1"/>
  <c r="A32" i="21" l="1"/>
  <c r="A33" i="21" s="1"/>
  <c r="A34" i="21" s="1"/>
  <c r="E65" i="6" l="1"/>
  <c r="F32" i="6" l="1"/>
  <c r="E32" i="6"/>
  <c r="F66" i="20" l="1"/>
  <c r="G31" i="20"/>
  <c r="Q68" i="10"/>
  <c r="N68" i="10"/>
  <c r="K68" i="10"/>
  <c r="H68" i="10"/>
  <c r="E68" i="10"/>
  <c r="F31" i="10"/>
  <c r="Q67" i="1"/>
  <c r="N67" i="1"/>
  <c r="K67" i="1"/>
  <c r="H67" i="1"/>
  <c r="E67" i="1"/>
  <c r="F30" i="1"/>
  <c r="Q67" i="13"/>
  <c r="N67" i="13"/>
  <c r="K67" i="13"/>
  <c r="H67" i="13"/>
  <c r="E67" i="13"/>
  <c r="E30" i="13"/>
  <c r="Q67" i="12"/>
  <c r="N67" i="12"/>
  <c r="K67" i="12"/>
  <c r="H67" i="12"/>
  <c r="E67" i="12"/>
  <c r="F30" i="12"/>
  <c r="B144" i="19" l="1"/>
  <c r="B107" i="19"/>
  <c r="B66" i="19"/>
  <c r="B21" i="19"/>
  <c r="A29" i="21" l="1"/>
  <c r="A30" i="21" s="1"/>
  <c r="A31" i="21" s="1"/>
  <c r="F31" i="6" l="1"/>
  <c r="E31" i="6"/>
  <c r="F64" i="6"/>
  <c r="E64" i="6"/>
  <c r="F63" i="6"/>
  <c r="E63" i="6"/>
  <c r="B65" i="6"/>
  <c r="D65" i="6" s="1"/>
  <c r="B64" i="6"/>
  <c r="D64" i="6" s="1"/>
  <c r="B32" i="6"/>
  <c r="D32" i="6" s="1"/>
  <c r="B31" i="6"/>
  <c r="D31" i="6" s="1"/>
  <c r="Q67" i="10" l="1"/>
  <c r="N67" i="10"/>
  <c r="K67" i="10"/>
  <c r="H67" i="10"/>
  <c r="E67" i="10"/>
  <c r="F30" i="10"/>
  <c r="F29" i="1"/>
  <c r="Q66" i="1"/>
  <c r="N66" i="1"/>
  <c r="K66" i="1"/>
  <c r="H66" i="1"/>
  <c r="E66" i="1"/>
  <c r="Q66" i="13"/>
  <c r="N66" i="13"/>
  <c r="K66" i="13"/>
  <c r="H66" i="13"/>
  <c r="E66" i="13"/>
  <c r="E29" i="13"/>
  <c r="E66" i="12"/>
  <c r="H66" i="12"/>
  <c r="K66" i="12"/>
  <c r="N66" i="12"/>
  <c r="Q66" i="12"/>
  <c r="F29" i="12"/>
  <c r="F65" i="20" l="1"/>
  <c r="G30" i="20"/>
  <c r="B143" i="19" l="1"/>
  <c r="B106" i="19"/>
  <c r="B65" i="19"/>
  <c r="B20" i="19"/>
  <c r="F30" i="6" l="1"/>
  <c r="B30" i="6" s="1"/>
  <c r="D30" i="6" s="1"/>
  <c r="D63" i="6"/>
  <c r="B63" i="6"/>
  <c r="G29" i="20" l="1"/>
  <c r="F64" i="20"/>
  <c r="Q66" i="10"/>
  <c r="N66" i="10"/>
  <c r="K66" i="10"/>
  <c r="H66" i="10"/>
  <c r="E66" i="10"/>
  <c r="F29" i="10"/>
  <c r="F28" i="1"/>
  <c r="Q65" i="1"/>
  <c r="N65" i="1"/>
  <c r="K65" i="1"/>
  <c r="H65" i="1"/>
  <c r="E65" i="1"/>
  <c r="Q65" i="13"/>
  <c r="N65" i="13"/>
  <c r="K65" i="13"/>
  <c r="H65" i="13"/>
  <c r="E65" i="13"/>
  <c r="E28" i="13"/>
  <c r="F28" i="12"/>
  <c r="Q65" i="12"/>
  <c r="N65" i="12"/>
  <c r="K65" i="12"/>
  <c r="H65" i="12"/>
  <c r="E65" i="12"/>
  <c r="B142" i="19" l="1"/>
  <c r="B105" i="19"/>
  <c r="B64" i="19"/>
  <c r="B19" i="19"/>
  <c r="F63" i="20" l="1"/>
  <c r="G28" i="20"/>
  <c r="F27" i="1"/>
  <c r="H65" i="10"/>
  <c r="Q65" i="10"/>
  <c r="N65" i="10"/>
  <c r="K65" i="10"/>
  <c r="E65" i="10"/>
  <c r="F28" i="10"/>
  <c r="Q64" i="1"/>
  <c r="N64" i="1"/>
  <c r="K64" i="1"/>
  <c r="H64" i="1"/>
  <c r="Q64" i="13"/>
  <c r="N64" i="13"/>
  <c r="K64" i="13"/>
  <c r="H64" i="13"/>
  <c r="E64" i="13"/>
  <c r="E27" i="13"/>
  <c r="Q64" i="12"/>
  <c r="N64" i="12"/>
  <c r="K64" i="12"/>
  <c r="H64" i="12"/>
  <c r="E64" i="12"/>
  <c r="F27" i="12"/>
  <c r="F29" i="6" l="1"/>
  <c r="B29" i="6" s="1"/>
  <c r="D29" i="6" s="1"/>
  <c r="E29" i="6"/>
  <c r="F62" i="6"/>
  <c r="E62" i="6"/>
  <c r="D62" i="6" s="1"/>
  <c r="B62" i="6" s="1"/>
  <c r="B18" i="19" l="1"/>
  <c r="B63" i="19"/>
  <c r="B104" i="19"/>
  <c r="B141" i="19" l="1"/>
  <c r="G27" i="20" l="1"/>
  <c r="F62" i="20"/>
  <c r="F61" i="20"/>
  <c r="F61" i="6" l="1"/>
  <c r="D61" i="6" s="1"/>
  <c r="B61" i="6" s="1"/>
  <c r="F28" i="6" l="1"/>
  <c r="B28" i="6" s="1"/>
  <c r="D28" i="6" s="1"/>
  <c r="Q64" i="10" l="1"/>
  <c r="N64" i="10"/>
  <c r="K64" i="10"/>
  <c r="H64" i="10"/>
  <c r="E64" i="10"/>
  <c r="F27" i="10"/>
  <c r="F26" i="1"/>
  <c r="Q63" i="1"/>
  <c r="N63" i="1"/>
  <c r="K63" i="1"/>
  <c r="H63" i="1"/>
  <c r="Q63" i="13"/>
  <c r="N63" i="13"/>
  <c r="K63" i="13"/>
  <c r="H63" i="13"/>
  <c r="E63" i="13"/>
  <c r="E26" i="13"/>
  <c r="Q63" i="12"/>
  <c r="N63" i="12"/>
  <c r="K63" i="12"/>
  <c r="H63" i="12"/>
  <c r="E63" i="12"/>
  <c r="F26" i="12"/>
  <c r="B17" i="19"/>
  <c r="B140" i="19"/>
  <c r="A25" i="21" l="1"/>
  <c r="A26" i="21"/>
  <c r="A27" i="21" s="1"/>
  <c r="A28" i="21" s="1"/>
  <c r="B6" i="22" l="1"/>
  <c r="Q63" i="10" l="1"/>
  <c r="N63" i="10"/>
  <c r="K63" i="10"/>
  <c r="H63" i="10"/>
  <c r="E63" i="10"/>
  <c r="F26" i="10"/>
  <c r="F25" i="1"/>
  <c r="Q62" i="1"/>
  <c r="N62" i="1"/>
  <c r="K62" i="1"/>
  <c r="H62" i="1"/>
  <c r="E62" i="1"/>
  <c r="Q62" i="13"/>
  <c r="N62" i="13"/>
  <c r="K62" i="13"/>
  <c r="H62" i="13"/>
  <c r="E62" i="13"/>
  <c r="E25" i="13"/>
  <c r="F25" i="12"/>
  <c r="Q62" i="12"/>
  <c r="N62" i="12"/>
  <c r="K62" i="12"/>
  <c r="H62" i="12"/>
  <c r="E62" i="12"/>
  <c r="G26" i="20"/>
  <c r="F27" i="6" l="1"/>
  <c r="E27" i="6"/>
  <c r="F26" i="6"/>
  <c r="B27" i="6"/>
  <c r="D27" i="6" s="1"/>
  <c r="B26" i="6"/>
  <c r="D26" i="6" s="1"/>
  <c r="F60" i="6" l="1"/>
  <c r="E60" i="6"/>
  <c r="D60" i="6" s="1"/>
  <c r="B60" i="6" s="1"/>
  <c r="F59" i="6"/>
  <c r="D59" i="6" s="1"/>
  <c r="B59" i="6" s="1"/>
  <c r="B16" i="19" l="1"/>
  <c r="B61" i="19"/>
  <c r="B102" i="19"/>
  <c r="B139" i="19"/>
  <c r="F27" i="22" l="1"/>
  <c r="B15" i="22" l="1"/>
  <c r="E15" i="22" s="1"/>
  <c r="B12" i="22"/>
  <c r="E12" i="22" s="1"/>
  <c r="B11" i="22"/>
  <c r="E11" i="22" s="1"/>
  <c r="B8" i="22"/>
  <c r="E8" i="22" s="1"/>
  <c r="B7" i="22"/>
  <c r="E7" i="22" s="1"/>
  <c r="A18" i="22"/>
  <c r="B14" i="22" s="1"/>
  <c r="E14" i="22" s="1"/>
  <c r="B9" i="22" l="1"/>
  <c r="E9" i="22" s="1"/>
  <c r="B13" i="22"/>
  <c r="E13" i="22" s="1"/>
  <c r="B17" i="22"/>
  <c r="E17" i="22" s="1"/>
  <c r="B16" i="22"/>
  <c r="E16" i="22" s="1"/>
  <c r="B10" i="22"/>
  <c r="E10" i="22" s="1"/>
  <c r="B18" i="22" l="1"/>
  <c r="E6" i="22"/>
  <c r="I6" i="17" l="1"/>
  <c r="F6" i="22"/>
  <c r="H6" i="22"/>
  <c r="H7" i="22" l="1"/>
  <c r="J6" i="22"/>
  <c r="F7" i="22"/>
  <c r="B101" i="19"/>
  <c r="H8" i="22" l="1"/>
  <c r="J7" i="22"/>
  <c r="F8" i="22"/>
  <c r="F60" i="20"/>
  <c r="G25" i="20"/>
  <c r="F25" i="10"/>
  <c r="Q62" i="10"/>
  <c r="N62" i="10"/>
  <c r="K62" i="10"/>
  <c r="H62" i="10"/>
  <c r="E62" i="10"/>
  <c r="Q61" i="1"/>
  <c r="N61" i="1"/>
  <c r="K61" i="1"/>
  <c r="H61" i="1"/>
  <c r="E61" i="1"/>
  <c r="F23" i="1"/>
  <c r="F24" i="1"/>
  <c r="Q61" i="13"/>
  <c r="N61" i="13"/>
  <c r="K61" i="13"/>
  <c r="H61" i="13"/>
  <c r="E61" i="13"/>
  <c r="E24" i="13"/>
  <c r="Q61" i="12"/>
  <c r="N61" i="12"/>
  <c r="K61" i="12"/>
  <c r="H61" i="12"/>
  <c r="E61" i="12"/>
  <c r="F24" i="12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H9" i="22" l="1"/>
  <c r="J8" i="22"/>
  <c r="F9" i="22"/>
  <c r="B138" i="19"/>
  <c r="H10" i="22" l="1"/>
  <c r="J9" i="22"/>
  <c r="F10" i="22"/>
  <c r="B60" i="19"/>
  <c r="B15" i="19"/>
  <c r="H11" i="22" l="1"/>
  <c r="J10" i="22"/>
  <c r="F11" i="22"/>
  <c r="F25" i="6"/>
  <c r="E25" i="6"/>
  <c r="B25" i="6" s="1"/>
  <c r="D25" i="6" s="1"/>
  <c r="F24" i="6"/>
  <c r="E24" i="6"/>
  <c r="F58" i="6"/>
  <c r="E58" i="6"/>
  <c r="F57" i="6"/>
  <c r="D57" i="6"/>
  <c r="B57" i="6" s="1"/>
  <c r="F56" i="6"/>
  <c r="D56" i="6" s="1"/>
  <c r="B56" i="6" s="1"/>
  <c r="B24" i="6" l="1"/>
  <c r="D24" i="6" s="1"/>
  <c r="H12" i="22"/>
  <c r="J11" i="22"/>
  <c r="D58" i="6"/>
  <c r="B58" i="6" s="1"/>
  <c r="F12" i="22"/>
  <c r="E61" i="10"/>
  <c r="Q61" i="10"/>
  <c r="N61" i="10"/>
  <c r="K61" i="10"/>
  <c r="H61" i="10"/>
  <c r="F24" i="10"/>
  <c r="Q60" i="1"/>
  <c r="N60" i="1"/>
  <c r="K60" i="1"/>
  <c r="H60" i="1"/>
  <c r="E60" i="1"/>
  <c r="E23" i="13"/>
  <c r="Q60" i="13"/>
  <c r="N60" i="13"/>
  <c r="K60" i="13"/>
  <c r="H60" i="13"/>
  <c r="E60" i="13"/>
  <c r="Q60" i="12"/>
  <c r="N60" i="12"/>
  <c r="K60" i="12"/>
  <c r="H60" i="12"/>
  <c r="E60" i="12"/>
  <c r="F23" i="12"/>
  <c r="F59" i="20"/>
  <c r="G24" i="20"/>
  <c r="H13" i="22" l="1"/>
  <c r="J12" i="22"/>
  <c r="F13" i="22"/>
  <c r="B137" i="19"/>
  <c r="B100" i="19"/>
  <c r="B59" i="19"/>
  <c r="B14" i="19"/>
  <c r="H14" i="22" l="1"/>
  <c r="J13" i="22"/>
  <c r="F14" i="22"/>
  <c r="G23" i="20"/>
  <c r="F58" i="20"/>
  <c r="H15" i="22" l="1"/>
  <c r="J14" i="22"/>
  <c r="F15" i="22"/>
  <c r="F23" i="10"/>
  <c r="Q60" i="10"/>
  <c r="N60" i="10"/>
  <c r="K60" i="10"/>
  <c r="H60" i="10"/>
  <c r="E60" i="10"/>
  <c r="K59" i="1"/>
  <c r="Q59" i="1"/>
  <c r="H59" i="1"/>
  <c r="E59" i="1"/>
  <c r="F22" i="1"/>
  <c r="Q59" i="13"/>
  <c r="N59" i="13"/>
  <c r="K59" i="13"/>
  <c r="H59" i="13"/>
  <c r="E59" i="13"/>
  <c r="E22" i="13"/>
  <c r="F22" i="12"/>
  <c r="K59" i="12"/>
  <c r="Q59" i="12"/>
  <c r="N59" i="12"/>
  <c r="H59" i="12"/>
  <c r="E59" i="12"/>
  <c r="H16" i="22" l="1"/>
  <c r="J15" i="22"/>
  <c r="F16" i="22"/>
  <c r="B136" i="19"/>
  <c r="B99" i="19"/>
  <c r="B58" i="19"/>
  <c r="B13" i="19"/>
  <c r="H17" i="22" l="1"/>
  <c r="J17" i="22" s="1"/>
  <c r="J16" i="22"/>
  <c r="F17" i="22"/>
  <c r="F23" i="6"/>
  <c r="B23" i="6" s="1"/>
  <c r="D23" i="6" s="1"/>
  <c r="E23" i="6"/>
  <c r="F57" i="20" l="1"/>
  <c r="G22" i="20" l="1"/>
  <c r="Q59" i="10"/>
  <c r="N59" i="10"/>
  <c r="K59" i="10"/>
  <c r="H59" i="10"/>
  <c r="E59" i="10"/>
  <c r="Q58" i="1"/>
  <c r="K58" i="1"/>
  <c r="H58" i="1"/>
  <c r="E58" i="1"/>
  <c r="K58" i="12"/>
  <c r="H58" i="12"/>
  <c r="Q58" i="12"/>
  <c r="N58" i="12"/>
  <c r="E58" i="12"/>
  <c r="Q58" i="13"/>
  <c r="N58" i="13"/>
  <c r="K58" i="13"/>
  <c r="H58" i="13"/>
  <c r="E58" i="13"/>
  <c r="E21" i="13" l="1"/>
  <c r="F21" i="1"/>
  <c r="F21" i="12"/>
  <c r="F22" i="10"/>
  <c r="B135" i="19" l="1"/>
  <c r="B12" i="19"/>
  <c r="F55" i="20" l="1"/>
  <c r="F54" i="20"/>
  <c r="F53" i="20"/>
  <c r="F52" i="20"/>
  <c r="F51" i="20"/>
  <c r="G20" i="20"/>
  <c r="G19" i="20"/>
  <c r="G18" i="20"/>
  <c r="G17" i="20"/>
  <c r="G16" i="20"/>
  <c r="B73" i="20"/>
  <c r="B72" i="20"/>
  <c r="F56" i="20"/>
  <c r="F50" i="20"/>
  <c r="F49" i="20"/>
  <c r="F48" i="20"/>
  <c r="G21" i="20"/>
  <c r="G15" i="20"/>
  <c r="G14" i="20"/>
  <c r="G13" i="20"/>
  <c r="G12" i="20"/>
  <c r="G11" i="20"/>
  <c r="G10" i="20"/>
  <c r="G9" i="20"/>
  <c r="G8" i="20"/>
  <c r="G7" i="20"/>
  <c r="G6" i="20"/>
  <c r="G5" i="20"/>
  <c r="G4" i="20"/>
  <c r="F22" i="6" l="1"/>
  <c r="B22" i="6" s="1"/>
  <c r="D22" i="6" s="1"/>
  <c r="E22" i="6"/>
  <c r="E55" i="6"/>
  <c r="D55" i="6" s="1"/>
  <c r="B55" i="6" s="1"/>
  <c r="F21" i="11" l="1"/>
  <c r="Q58" i="10"/>
  <c r="N58" i="10"/>
  <c r="K58" i="10"/>
  <c r="H58" i="10"/>
  <c r="E58" i="10"/>
  <c r="F21" i="10"/>
  <c r="F20" i="1"/>
  <c r="Q57" i="1"/>
  <c r="K57" i="1"/>
  <c r="H57" i="1"/>
  <c r="E57" i="1"/>
  <c r="Q57" i="13"/>
  <c r="N57" i="13"/>
  <c r="K57" i="13"/>
  <c r="H57" i="13"/>
  <c r="E57" i="13"/>
  <c r="E20" i="13"/>
  <c r="Q57" i="12"/>
  <c r="N57" i="12"/>
  <c r="K57" i="12"/>
  <c r="H57" i="12"/>
  <c r="E57" i="12"/>
  <c r="F20" i="12"/>
  <c r="B134" i="19" l="1"/>
  <c r="B97" i="19"/>
  <c r="B56" i="19"/>
  <c r="B11" i="19"/>
  <c r="F19" i="1" l="1"/>
  <c r="F21" i="6" l="1"/>
  <c r="E21" i="6"/>
  <c r="F54" i="6" l="1"/>
  <c r="E54" i="6"/>
  <c r="D54" i="6" s="1"/>
  <c r="B54" i="6" s="1"/>
  <c r="B21" i="6"/>
  <c r="D21" i="6" s="1"/>
  <c r="E47" i="11" l="1"/>
  <c r="Q57" i="10"/>
  <c r="N57" i="10"/>
  <c r="K57" i="10"/>
  <c r="H57" i="10"/>
  <c r="E57" i="10"/>
  <c r="Q56" i="1"/>
  <c r="E56" i="1"/>
  <c r="Q56" i="13"/>
  <c r="N56" i="13"/>
  <c r="K56" i="13"/>
  <c r="H56" i="13"/>
  <c r="E56" i="13"/>
  <c r="Q56" i="12"/>
  <c r="N56" i="12"/>
  <c r="K56" i="12"/>
  <c r="H56" i="12"/>
  <c r="E56" i="12"/>
  <c r="F20" i="11"/>
  <c r="F20" i="10"/>
  <c r="F18" i="1"/>
  <c r="E19" i="13"/>
  <c r="F19" i="12"/>
  <c r="B133" i="19" l="1"/>
  <c r="B96" i="19"/>
  <c r="B55" i="19"/>
  <c r="B10" i="19"/>
  <c r="B18" i="6" l="1"/>
  <c r="D18" i="6" s="1"/>
  <c r="B19" i="6"/>
  <c r="D19" i="6" s="1"/>
  <c r="B20" i="6"/>
  <c r="D20" i="6" s="1"/>
  <c r="F53" i="6" l="1"/>
  <c r="F52" i="6"/>
  <c r="D52" i="6" s="1"/>
  <c r="B52" i="6" s="1"/>
  <c r="F51" i="6"/>
  <c r="D53" i="6"/>
  <c r="B53" i="6" s="1"/>
  <c r="D51" i="6"/>
  <c r="B51" i="6" s="1"/>
  <c r="B132" i="19" l="1"/>
  <c r="Q55" i="1" l="1"/>
  <c r="E55" i="1"/>
  <c r="F19" i="10"/>
  <c r="Q56" i="10"/>
  <c r="N56" i="10"/>
  <c r="K56" i="10"/>
  <c r="H56" i="10"/>
  <c r="E56" i="10"/>
  <c r="Q55" i="12"/>
  <c r="N55" i="12"/>
  <c r="K55" i="12"/>
  <c r="H55" i="12"/>
  <c r="E55" i="12"/>
  <c r="F18" i="12"/>
  <c r="E18" i="13"/>
  <c r="Q55" i="13"/>
  <c r="N55" i="13"/>
  <c r="K55" i="13"/>
  <c r="H55" i="13"/>
  <c r="E55" i="13"/>
  <c r="F19" i="11"/>
  <c r="E46" i="11"/>
  <c r="B95" i="19" l="1"/>
  <c r="B54" i="19"/>
  <c r="B9" i="19"/>
  <c r="E54" i="1" l="1"/>
  <c r="Q54" i="1"/>
  <c r="E55" i="10"/>
  <c r="H55" i="10"/>
  <c r="K55" i="10"/>
  <c r="N55" i="10"/>
  <c r="Q55" i="10"/>
  <c r="E54" i="12"/>
  <c r="H54" i="12"/>
  <c r="K54" i="12"/>
  <c r="N54" i="12"/>
  <c r="Q54" i="12"/>
  <c r="E54" i="13"/>
  <c r="H54" i="13"/>
  <c r="K54" i="13"/>
  <c r="N54" i="13"/>
  <c r="Q54" i="13"/>
  <c r="E45" i="11"/>
  <c r="F17" i="1"/>
  <c r="F18" i="10"/>
  <c r="F17" i="12"/>
  <c r="F18" i="11"/>
  <c r="E17" i="13"/>
  <c r="B94" i="19" l="1"/>
  <c r="B53" i="19"/>
  <c r="B8" i="19"/>
  <c r="B131" i="19" l="1"/>
  <c r="E44" i="11" l="1"/>
  <c r="F17" i="11"/>
  <c r="Q53" i="1"/>
  <c r="E53" i="1"/>
  <c r="F16" i="1"/>
  <c r="Q54" i="10"/>
  <c r="N54" i="10"/>
  <c r="K54" i="10"/>
  <c r="H54" i="10"/>
  <c r="E54" i="10"/>
  <c r="F17" i="10"/>
  <c r="Q53" i="12"/>
  <c r="N53" i="12"/>
  <c r="K53" i="12"/>
  <c r="H53" i="12"/>
  <c r="E53" i="12"/>
  <c r="F16" i="12"/>
  <c r="Q53" i="13"/>
  <c r="N53" i="13"/>
  <c r="K53" i="13"/>
  <c r="H53" i="13"/>
  <c r="E53" i="13"/>
  <c r="E16" i="13"/>
  <c r="B93" i="19" l="1"/>
  <c r="B52" i="19"/>
  <c r="B7" i="19"/>
  <c r="B5" i="19" l="1"/>
  <c r="B6" i="19"/>
  <c r="B49" i="19"/>
  <c r="B50" i="19"/>
  <c r="B4" i="19" l="1"/>
  <c r="B51" i="19" l="1"/>
  <c r="Q52" i="1" l="1"/>
  <c r="E52" i="1"/>
  <c r="Q53" i="10"/>
  <c r="N53" i="10"/>
  <c r="K53" i="10"/>
  <c r="H53" i="10"/>
  <c r="E53" i="10"/>
  <c r="F16" i="10"/>
  <c r="F15" i="12"/>
  <c r="E52" i="12"/>
  <c r="H52" i="12"/>
  <c r="K52" i="12"/>
  <c r="N52" i="12"/>
  <c r="Q52" i="12"/>
  <c r="F16" i="11"/>
  <c r="E43" i="11"/>
  <c r="Q52" i="13"/>
  <c r="N52" i="13"/>
  <c r="K52" i="13"/>
  <c r="H52" i="13"/>
  <c r="E52" i="13"/>
  <c r="E15" i="13"/>
  <c r="D50" i="6" l="1"/>
  <c r="B50" i="6" s="1"/>
  <c r="B17" i="6"/>
  <c r="D17" i="6" s="1"/>
  <c r="B92" i="19" l="1"/>
  <c r="Q52" i="10" l="1"/>
  <c r="N52" i="10"/>
  <c r="K52" i="10"/>
  <c r="H52" i="10"/>
  <c r="E52" i="10"/>
  <c r="E49" i="6" l="1"/>
  <c r="D49" i="6" s="1"/>
  <c r="B49" i="6" s="1"/>
  <c r="E16" i="6" l="1"/>
  <c r="B16" i="6" s="1"/>
  <c r="D16" i="6" s="1"/>
  <c r="J27" i="17" l="1"/>
  <c r="J25" i="17"/>
  <c r="J22" i="17"/>
  <c r="J23" i="17"/>
  <c r="E42" i="11" l="1"/>
  <c r="Q51" i="1"/>
  <c r="E51" i="1"/>
  <c r="Q51" i="13"/>
  <c r="N51" i="13"/>
  <c r="K51" i="13"/>
  <c r="H51" i="13"/>
  <c r="E51" i="13"/>
  <c r="Q51" i="12"/>
  <c r="N51" i="12"/>
  <c r="K51" i="12"/>
  <c r="H51" i="12"/>
  <c r="E51" i="12"/>
  <c r="F15" i="10"/>
  <c r="F14" i="1"/>
  <c r="E14" i="13"/>
  <c r="Q43" i="1" l="1"/>
  <c r="Q44" i="1"/>
  <c r="Q45" i="1"/>
  <c r="Q46" i="1"/>
  <c r="Q47" i="1"/>
  <c r="Q48" i="1"/>
  <c r="Q49" i="1"/>
  <c r="E43" i="1"/>
  <c r="E44" i="1"/>
  <c r="E46" i="1"/>
  <c r="E47" i="1"/>
  <c r="E48" i="1"/>
  <c r="E49" i="1"/>
  <c r="Q38" i="10"/>
  <c r="Q39" i="10"/>
  <c r="Q40" i="10"/>
  <c r="Q41" i="10"/>
  <c r="Q43" i="10"/>
  <c r="Q44" i="10"/>
  <c r="Q45" i="10"/>
  <c r="Q46" i="10"/>
  <c r="Q47" i="10"/>
  <c r="Q48" i="10"/>
  <c r="Q49" i="10"/>
  <c r="Q50" i="10"/>
  <c r="N38" i="10"/>
  <c r="N39" i="10"/>
  <c r="N40" i="10"/>
  <c r="N41" i="10"/>
  <c r="N43" i="10"/>
  <c r="N44" i="10"/>
  <c r="N45" i="10"/>
  <c r="N46" i="10"/>
  <c r="N47" i="10"/>
  <c r="N48" i="10"/>
  <c r="N49" i="10"/>
  <c r="N50" i="10"/>
  <c r="K38" i="10"/>
  <c r="K39" i="10"/>
  <c r="K40" i="10"/>
  <c r="K41" i="10"/>
  <c r="K43" i="10"/>
  <c r="K44" i="10"/>
  <c r="K45" i="10"/>
  <c r="K46" i="10"/>
  <c r="K47" i="10"/>
  <c r="K48" i="10"/>
  <c r="K49" i="10"/>
  <c r="K50" i="10"/>
  <c r="H38" i="10"/>
  <c r="H39" i="10"/>
  <c r="H40" i="10"/>
  <c r="H41" i="10"/>
  <c r="H43" i="10"/>
  <c r="H44" i="10"/>
  <c r="H45" i="10"/>
  <c r="H46" i="10"/>
  <c r="H47" i="10"/>
  <c r="H48" i="10"/>
  <c r="H49" i="10"/>
  <c r="H50" i="10"/>
  <c r="E38" i="10"/>
  <c r="E39" i="10"/>
  <c r="E40" i="10"/>
  <c r="E41" i="10"/>
  <c r="E42" i="10"/>
  <c r="E43" i="10"/>
  <c r="E44" i="10"/>
  <c r="E45" i="10"/>
  <c r="E47" i="10"/>
  <c r="E48" i="10"/>
  <c r="E49" i="10"/>
  <c r="E50" i="10"/>
  <c r="F3" i="12"/>
  <c r="Q42" i="12"/>
  <c r="Q43" i="12"/>
  <c r="Q44" i="12"/>
  <c r="Q45" i="12"/>
  <c r="Q46" i="12"/>
  <c r="Q47" i="12"/>
  <c r="Q48" i="12"/>
  <c r="Q49" i="12"/>
  <c r="N42" i="12"/>
  <c r="N43" i="12"/>
  <c r="N44" i="12"/>
  <c r="N45" i="12"/>
  <c r="N46" i="12"/>
  <c r="N47" i="12"/>
  <c r="N48" i="12"/>
  <c r="N49" i="12"/>
  <c r="K42" i="12"/>
  <c r="K43" i="12"/>
  <c r="K44" i="12"/>
  <c r="K45" i="12"/>
  <c r="K46" i="12"/>
  <c r="K47" i="12"/>
  <c r="K48" i="12"/>
  <c r="K49" i="12"/>
  <c r="H42" i="12"/>
  <c r="H43" i="12"/>
  <c r="H44" i="12"/>
  <c r="H45" i="12"/>
  <c r="H46" i="12"/>
  <c r="H47" i="12"/>
  <c r="H48" i="12"/>
  <c r="H49" i="12"/>
  <c r="H50" i="12"/>
  <c r="E37" i="12"/>
  <c r="E38" i="12"/>
  <c r="E39" i="12"/>
  <c r="E40" i="12"/>
  <c r="E41" i="12"/>
  <c r="E42" i="12"/>
  <c r="E43" i="12"/>
  <c r="E44" i="12"/>
  <c r="E45" i="12"/>
  <c r="E47" i="12"/>
  <c r="E48" i="12"/>
  <c r="E49" i="12"/>
  <c r="E40" i="11"/>
  <c r="E41" i="11"/>
  <c r="E3" i="13"/>
  <c r="E4" i="13"/>
  <c r="E5" i="13"/>
  <c r="E6" i="13"/>
  <c r="E7" i="13"/>
  <c r="E8" i="13"/>
  <c r="E9" i="13"/>
  <c r="E10" i="13"/>
  <c r="E11" i="13"/>
  <c r="E12" i="13"/>
  <c r="E37" i="13"/>
  <c r="E38" i="13"/>
  <c r="E39" i="13"/>
  <c r="E40" i="13"/>
  <c r="E41" i="13"/>
  <c r="E42" i="13"/>
  <c r="E43" i="13"/>
  <c r="E44" i="13"/>
  <c r="E45" i="13"/>
  <c r="E47" i="13"/>
  <c r="E48" i="13"/>
  <c r="E49" i="13"/>
  <c r="Q42" i="13"/>
  <c r="Q43" i="13"/>
  <c r="Q44" i="13"/>
  <c r="Q45" i="13"/>
  <c r="Q46" i="13"/>
  <c r="Q47" i="13"/>
  <c r="Q48" i="13"/>
  <c r="Q49" i="13"/>
  <c r="N42" i="13"/>
  <c r="N43" i="13"/>
  <c r="N44" i="13"/>
  <c r="N45" i="13"/>
  <c r="N46" i="13"/>
  <c r="N47" i="13"/>
  <c r="N48" i="13"/>
  <c r="N49" i="13"/>
  <c r="K42" i="13"/>
  <c r="K43" i="13"/>
  <c r="K44" i="13"/>
  <c r="K45" i="13"/>
  <c r="K46" i="13"/>
  <c r="K47" i="13"/>
  <c r="K48" i="13"/>
  <c r="K49" i="13"/>
  <c r="H42" i="13"/>
  <c r="H43" i="13"/>
  <c r="H44" i="13"/>
  <c r="H45" i="13"/>
  <c r="H46" i="13"/>
  <c r="H47" i="13"/>
  <c r="H48" i="13"/>
  <c r="H49" i="13"/>
  <c r="B91" i="19" l="1"/>
  <c r="F15" i="6" l="1"/>
  <c r="E15" i="6"/>
  <c r="B15" i="6"/>
  <c r="D15" i="6" s="1"/>
  <c r="E50" i="12" l="1"/>
  <c r="L6" i="17" l="1"/>
  <c r="L7" i="17" s="1"/>
  <c r="L8" i="17" s="1"/>
  <c r="B90" i="19" l="1"/>
  <c r="Q51" i="10"/>
  <c r="N51" i="10"/>
  <c r="K51" i="10"/>
  <c r="H51" i="10"/>
  <c r="E51" i="10"/>
  <c r="Q50" i="1"/>
  <c r="E50" i="1"/>
  <c r="Q50" i="12"/>
  <c r="N50" i="12"/>
  <c r="K50" i="12"/>
  <c r="Q50" i="13"/>
  <c r="N50" i="13"/>
  <c r="K50" i="13"/>
  <c r="H50" i="13"/>
  <c r="E50" i="13"/>
  <c r="D7" i="17" l="1"/>
  <c r="D8" i="17"/>
  <c r="D9" i="17"/>
  <c r="D10" i="17"/>
  <c r="D11" i="17"/>
  <c r="D12" i="17"/>
  <c r="D13" i="17"/>
  <c r="D14" i="17"/>
  <c r="D15" i="17"/>
  <c r="D16" i="17"/>
  <c r="D17" i="17"/>
  <c r="D19" i="17" l="1"/>
  <c r="E7" i="17" s="1"/>
  <c r="I7" i="17" s="1"/>
  <c r="E17" i="17" l="1"/>
  <c r="I17" i="17" s="1"/>
  <c r="E13" i="17"/>
  <c r="I13" i="17" s="1"/>
  <c r="E9" i="17"/>
  <c r="I9" i="17" s="1"/>
  <c r="E8" i="17"/>
  <c r="I8" i="17" s="1"/>
  <c r="E12" i="17"/>
  <c r="I12" i="17" s="1"/>
  <c r="E16" i="17"/>
  <c r="I16" i="17" s="1"/>
  <c r="E15" i="17"/>
  <c r="I15" i="17" s="1"/>
  <c r="E11" i="17"/>
  <c r="I11" i="17" s="1"/>
  <c r="E6" i="17"/>
  <c r="E10" i="17"/>
  <c r="I10" i="17" s="1"/>
  <c r="E14" i="17"/>
  <c r="I14" i="17" s="1"/>
  <c r="E19" i="17" l="1"/>
  <c r="F48" i="6"/>
  <c r="E48" i="6"/>
  <c r="D48" i="6"/>
  <c r="B48" i="6" s="1"/>
  <c r="F14" i="10" l="1"/>
  <c r="F13" i="1"/>
  <c r="E13" i="13"/>
  <c r="F14" i="6"/>
  <c r="B14" i="6" s="1"/>
  <c r="D14" i="6" s="1"/>
  <c r="E47" i="6"/>
  <c r="D47" i="6" s="1"/>
  <c r="B47" i="6" s="1"/>
  <c r="F13" i="10"/>
  <c r="K49" i="1"/>
  <c r="F12" i="12"/>
  <c r="E46" i="6"/>
  <c r="F46" i="6" s="1"/>
  <c r="D46" i="6" s="1"/>
  <c r="B46" i="6" s="1"/>
  <c r="E45" i="6"/>
  <c r="F45" i="6" s="1"/>
  <c r="D45" i="6" s="1"/>
  <c r="B45" i="6" s="1"/>
  <c r="F44" i="6"/>
  <c r="D44" i="6" s="1"/>
  <c r="B44" i="6" s="1"/>
  <c r="F11" i="6"/>
  <c r="E11" i="6"/>
  <c r="F13" i="6"/>
  <c r="B13" i="6"/>
  <c r="D13" i="6" s="1"/>
  <c r="F12" i="6"/>
  <c r="B12" i="6" s="1"/>
  <c r="D12" i="6" s="1"/>
  <c r="B11" i="6"/>
  <c r="F10" i="6"/>
  <c r="E10" i="6"/>
  <c r="B10" i="6" s="1"/>
  <c r="D10" i="6" s="1"/>
  <c r="N48" i="1"/>
  <c r="F12" i="10"/>
  <c r="N47" i="1"/>
  <c r="N46" i="1" s="1"/>
  <c r="N45" i="1" s="1"/>
  <c r="N44" i="1" s="1"/>
  <c r="F11" i="10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F9" i="1"/>
  <c r="H43" i="1"/>
  <c r="E38" i="1"/>
  <c r="E39" i="1"/>
  <c r="E40" i="1"/>
  <c r="E37" i="1"/>
  <c r="N43" i="1"/>
  <c r="K43" i="1"/>
  <c r="C95" i="1"/>
  <c r="C45" i="1"/>
  <c r="D45" i="1"/>
  <c r="C46" i="10"/>
  <c r="D46" i="10"/>
  <c r="B95" i="12"/>
  <c r="B94" i="12"/>
  <c r="D46" i="12"/>
  <c r="E46" i="12" s="1"/>
  <c r="C46" i="12"/>
  <c r="B55" i="11"/>
  <c r="B54" i="11"/>
  <c r="B97" i="13"/>
  <c r="B96" i="13"/>
  <c r="D46" i="13"/>
  <c r="C46" i="13"/>
  <c r="D6" i="16"/>
  <c r="F6" i="16" s="1"/>
  <c r="F7" i="16" s="1"/>
  <c r="L6" i="16"/>
  <c r="L7" i="16"/>
  <c r="D7" i="16"/>
  <c r="D8" i="16"/>
  <c r="D9" i="16"/>
  <c r="D10" i="16"/>
  <c r="D11" i="16"/>
  <c r="D12" i="16"/>
  <c r="D13" i="16"/>
  <c r="D14" i="16"/>
  <c r="D15" i="16"/>
  <c r="D16" i="16"/>
  <c r="D17" i="16"/>
  <c r="D19" i="16"/>
  <c r="E7" i="16" s="1"/>
  <c r="I7" i="16" s="1"/>
  <c r="F10" i="10"/>
  <c r="E43" i="6"/>
  <c r="D43" i="6" s="1"/>
  <c r="B43" i="6" s="1"/>
  <c r="E42" i="6"/>
  <c r="D42" i="6"/>
  <c r="B42" i="6" s="1"/>
  <c r="F9" i="6"/>
  <c r="E9" i="6"/>
  <c r="F14" i="12"/>
  <c r="F13" i="12"/>
  <c r="F11" i="12"/>
  <c r="F10" i="12"/>
  <c r="F9" i="12"/>
  <c r="F8" i="12"/>
  <c r="F7" i="12"/>
  <c r="F6" i="12"/>
  <c r="F5" i="12"/>
  <c r="F4" i="12"/>
  <c r="F15" i="11"/>
  <c r="F14" i="11"/>
  <c r="F13" i="11"/>
  <c r="F12" i="11"/>
  <c r="F11" i="11"/>
  <c r="F10" i="11"/>
  <c r="F9" i="11"/>
  <c r="F8" i="11"/>
  <c r="F7" i="11"/>
  <c r="F6" i="11"/>
  <c r="F5" i="11"/>
  <c r="F4" i="11"/>
  <c r="F9" i="10"/>
  <c r="F8" i="10"/>
  <c r="F7" i="10"/>
  <c r="F6" i="10"/>
  <c r="F5" i="10"/>
  <c r="F4" i="10"/>
  <c r="E8" i="6"/>
  <c r="B8" i="6"/>
  <c r="D8" i="6" s="1"/>
  <c r="D40" i="6"/>
  <c r="B40" i="6" s="1"/>
  <c r="E41" i="6"/>
  <c r="D41" i="6" s="1"/>
  <c r="B41" i="6" s="1"/>
  <c r="F7" i="6"/>
  <c r="E7" i="6"/>
  <c r="B7" i="6" s="1"/>
  <c r="D7" i="6" s="1"/>
  <c r="B5" i="6"/>
  <c r="F6" i="6"/>
  <c r="B6" i="6" s="1"/>
  <c r="D6" i="6" s="1"/>
  <c r="E6" i="6"/>
  <c r="D11" i="6"/>
  <c r="D5" i="6"/>
  <c r="F4" i="6"/>
  <c r="B4" i="6" s="1"/>
  <c r="D4" i="6" s="1"/>
  <c r="E39" i="6"/>
  <c r="D39" i="6"/>
  <c r="B39" i="6" s="1"/>
  <c r="F12" i="1"/>
  <c r="F11" i="1"/>
  <c r="F10" i="1"/>
  <c r="F8" i="1"/>
  <c r="F7" i="1"/>
  <c r="F6" i="1"/>
  <c r="F5" i="1"/>
  <c r="F4" i="1"/>
  <c r="F3" i="1"/>
  <c r="L8" i="16"/>
  <c r="L9" i="16"/>
  <c r="L10" i="16"/>
  <c r="L11" i="16"/>
  <c r="L12" i="16"/>
  <c r="L13" i="16"/>
  <c r="L14" i="16"/>
  <c r="L15" i="16"/>
  <c r="L16" i="16"/>
  <c r="L17" i="16"/>
  <c r="J6" i="17"/>
  <c r="N6" i="17" s="1"/>
  <c r="B9" i="6" l="1"/>
  <c r="D9" i="6" s="1"/>
  <c r="E46" i="10"/>
  <c r="E11" i="16"/>
  <c r="I11" i="16" s="1"/>
  <c r="E16" i="16"/>
  <c r="I16" i="16" s="1"/>
  <c r="E17" i="16"/>
  <c r="I17" i="16" s="1"/>
  <c r="E12" i="16"/>
  <c r="I12" i="16" s="1"/>
  <c r="E10" i="16"/>
  <c r="I10" i="16" s="1"/>
  <c r="E45" i="1"/>
  <c r="E14" i="16"/>
  <c r="I14" i="16" s="1"/>
  <c r="E8" i="16"/>
  <c r="I8" i="16" s="1"/>
  <c r="E9" i="16"/>
  <c r="I9" i="16" s="1"/>
  <c r="E46" i="13"/>
  <c r="E15" i="16"/>
  <c r="I15" i="16" s="1"/>
  <c r="E13" i="16"/>
  <c r="I13" i="16" s="1"/>
  <c r="F8" i="16"/>
  <c r="F9" i="16" s="1"/>
  <c r="F10" i="16" s="1"/>
  <c r="F11" i="16" s="1"/>
  <c r="F12" i="16" s="1"/>
  <c r="F13" i="16" s="1"/>
  <c r="F14" i="16" s="1"/>
  <c r="F15" i="16" s="1"/>
  <c r="F16" i="16" s="1"/>
  <c r="F17" i="16" s="1"/>
  <c r="E6" i="16"/>
  <c r="J7" i="17"/>
  <c r="I6" i="16" l="1"/>
  <c r="E19" i="16"/>
  <c r="J8" i="17"/>
  <c r="N7" i="17"/>
  <c r="J6" i="16" l="1"/>
  <c r="I19" i="16"/>
  <c r="N8" i="17"/>
  <c r="J9" i="17"/>
  <c r="J7" i="16" l="1"/>
  <c r="N6" i="16"/>
  <c r="J10" i="17"/>
  <c r="J8" i="16" l="1"/>
  <c r="N7" i="16"/>
  <c r="J11" i="17"/>
  <c r="N8" i="16" l="1"/>
  <c r="J9" i="16"/>
  <c r="J12" i="17"/>
  <c r="J10" i="16" l="1"/>
  <c r="N9" i="16"/>
  <c r="J13" i="17"/>
  <c r="N10" i="16" l="1"/>
  <c r="J11" i="16"/>
  <c r="J14" i="17"/>
  <c r="N11" i="16" l="1"/>
  <c r="J12" i="16"/>
  <c r="J15" i="17"/>
  <c r="N12" i="16" l="1"/>
  <c r="J13" i="16"/>
  <c r="J16" i="17"/>
  <c r="N13" i="16" l="1"/>
  <c r="J14" i="16"/>
  <c r="J17" i="17"/>
  <c r="N14" i="16" l="1"/>
  <c r="J15" i="16"/>
  <c r="J16" i="16" l="1"/>
  <c r="N15" i="16"/>
  <c r="N16" i="16" l="1"/>
  <c r="J17" i="16"/>
  <c r="N17" i="16" s="1"/>
  <c r="L9" i="17" l="1"/>
  <c r="L10" i="17" l="1"/>
  <c r="L11" i="17" s="1"/>
  <c r="N9" i="17"/>
  <c r="N10" i="17" l="1"/>
  <c r="N11" i="17" l="1"/>
  <c r="L12" i="17"/>
  <c r="L13" i="17" s="1"/>
  <c r="N13" i="17" l="1"/>
  <c r="L14" i="17"/>
  <c r="N12" i="17"/>
  <c r="L15" i="17" l="1"/>
  <c r="N14" i="17"/>
  <c r="N15" i="17" l="1"/>
  <c r="L16" i="17"/>
  <c r="N16" i="17" l="1"/>
  <c r="L17" i="17"/>
  <c r="N17" i="17" s="1"/>
</calcChain>
</file>

<file path=xl/sharedStrings.xml><?xml version="1.0" encoding="utf-8"?>
<sst xmlns="http://schemas.openxmlformats.org/spreadsheetml/2006/main" count="1594" uniqueCount="555">
  <si>
    <t>Total #</t>
  </si>
  <si>
    <t xml:space="preserve">  &gt; 30 Days Old</t>
  </si>
  <si>
    <t>Engineering Preventive Maintenance</t>
  </si>
  <si>
    <t>Grounds Maintenance</t>
  </si>
  <si>
    <t>Cost Estimates to Customer</t>
  </si>
  <si>
    <t>% in 10 days or less</t>
  </si>
  <si>
    <t>Goal</t>
  </si>
  <si>
    <t>Avg # of Days to Customer</t>
  </si>
  <si>
    <t>Actual</t>
  </si>
  <si>
    <t>Emergency</t>
  </si>
  <si>
    <t>High</t>
  </si>
  <si>
    <t>Medium</t>
  </si>
  <si>
    <t>Low</t>
  </si>
  <si>
    <t>Banner Total</t>
  </si>
  <si>
    <t xml:space="preserve">Total </t>
  </si>
  <si>
    <t>September</t>
  </si>
  <si>
    <t>August</t>
  </si>
  <si>
    <t>July</t>
  </si>
  <si>
    <t>June</t>
  </si>
  <si>
    <t>May</t>
  </si>
  <si>
    <t>April</t>
  </si>
  <si>
    <t>March</t>
  </si>
  <si>
    <t>February</t>
  </si>
  <si>
    <t>January</t>
  </si>
  <si>
    <t>December</t>
  </si>
  <si>
    <t>November</t>
  </si>
  <si>
    <t>October</t>
  </si>
  <si>
    <t>Over/Under Budget</t>
  </si>
  <si>
    <t>Actual YTD</t>
  </si>
  <si>
    <t>Actual Current Month</t>
  </si>
  <si>
    <t>Budget YTD</t>
  </si>
  <si>
    <t>Budget Current Month</t>
  </si>
  <si>
    <t>YTD</t>
  </si>
  <si>
    <t>%</t>
  </si>
  <si>
    <t>Current Month</t>
  </si>
  <si>
    <t>Budget</t>
  </si>
  <si>
    <t>FY2012</t>
  </si>
  <si>
    <t>FY2011</t>
  </si>
  <si>
    <t>total # responses</t>
  </si>
  <si>
    <t>Feb</t>
  </si>
  <si>
    <t>1=strongly disagree</t>
  </si>
  <si>
    <t>5=strongly agree</t>
  </si>
  <si>
    <t>Date</t>
  </si>
  <si>
    <t>Curb Appeal Project % complete per week</t>
  </si>
  <si>
    <t>Process Requisitions</t>
  </si>
  <si>
    <t>% in 2 days or less</t>
  </si>
  <si>
    <t>% of Days  processed &gt; 2 days</t>
  </si>
  <si>
    <t>Process Invoices</t>
  </si>
  <si>
    <t>No of Trans processed</t>
  </si>
  <si>
    <t>No of Trans processed on time</t>
  </si>
  <si>
    <t>% Processed &gt; 2 days</t>
  </si>
  <si>
    <t xml:space="preserve">Average Work Order Survey Scores </t>
  </si>
  <si>
    <t>-</t>
  </si>
  <si>
    <t>% in 30 days or less</t>
  </si>
  <si>
    <t># of Estimates</t>
  </si>
  <si>
    <t xml:space="preserve">July </t>
  </si>
  <si>
    <t>Total completed</t>
  </si>
  <si>
    <t>Total completed on time</t>
  </si>
  <si>
    <t>878</t>
  </si>
  <si>
    <t>1066</t>
  </si>
  <si>
    <t>933</t>
  </si>
  <si>
    <t>667</t>
  </si>
  <si>
    <t>1014</t>
  </si>
  <si>
    <t>763</t>
  </si>
  <si>
    <t>607</t>
  </si>
  <si>
    <t>810</t>
  </si>
  <si>
    <t>670</t>
  </si>
  <si>
    <t>709</t>
  </si>
  <si>
    <t>862</t>
  </si>
  <si>
    <t>888</t>
  </si>
  <si>
    <t>571</t>
  </si>
  <si>
    <t>698</t>
  </si>
  <si>
    <t>Month</t>
  </si>
  <si>
    <t>26</t>
  </si>
  <si>
    <t>11</t>
  </si>
  <si>
    <t>14</t>
  </si>
  <si>
    <t>282</t>
  </si>
  <si>
    <t>171</t>
  </si>
  <si>
    <t>209</t>
  </si>
  <si>
    <t>292</t>
  </si>
  <si>
    <t>421</t>
  </si>
  <si>
    <t>241</t>
  </si>
  <si>
    <t>428</t>
  </si>
  <si>
    <t>297</t>
  </si>
  <si>
    <t>133</t>
  </si>
  <si>
    <t>148</t>
  </si>
  <si>
    <t>178</t>
  </si>
  <si>
    <t>142</t>
  </si>
  <si>
    <t>10</t>
  </si>
  <si>
    <t>44</t>
  </si>
  <si>
    <t>5</t>
  </si>
  <si>
    <t>4</t>
  </si>
  <si>
    <t>49</t>
  </si>
  <si>
    <t>98</t>
  </si>
  <si>
    <t>213</t>
  </si>
  <si>
    <t>223</t>
  </si>
  <si>
    <t>147</t>
  </si>
  <si>
    <t>128</t>
  </si>
  <si>
    <t>156</t>
  </si>
  <si>
    <t>153</t>
  </si>
  <si>
    <t>3</t>
  </si>
  <si>
    <t>1</t>
  </si>
  <si>
    <t>2</t>
  </si>
  <si>
    <t>162</t>
  </si>
  <si>
    <t>135</t>
  </si>
  <si>
    <t>174</t>
  </si>
  <si>
    <t>173</t>
  </si>
  <si>
    <t>132</t>
  </si>
  <si>
    <t>103</t>
  </si>
  <si>
    <t>163</t>
  </si>
  <si>
    <t>220</t>
  </si>
  <si>
    <t>251</t>
  </si>
  <si>
    <t>203</t>
  </si>
  <si>
    <t>185</t>
  </si>
  <si>
    <t>206</t>
  </si>
  <si>
    <t>354</t>
  </si>
  <si>
    <t>379</t>
  </si>
  <si>
    <t>368</t>
  </si>
  <si>
    <t>433</t>
  </si>
  <si>
    <t>365</t>
  </si>
  <si>
    <t>367</t>
  </si>
  <si>
    <t>448</t>
  </si>
  <si>
    <t>450</t>
  </si>
  <si>
    <t>552</t>
  </si>
  <si>
    <t>451</t>
  </si>
  <si>
    <t>468</t>
  </si>
  <si>
    <t>461</t>
  </si>
  <si>
    <t>125</t>
  </si>
  <si>
    <t>110</t>
  </si>
  <si>
    <t>96</t>
  </si>
  <si>
    <t>121</t>
  </si>
  <si>
    <t>107</t>
  </si>
  <si>
    <t>102</t>
  </si>
  <si>
    <t>150</t>
  </si>
  <si>
    <t>161</t>
  </si>
  <si>
    <t>172</t>
  </si>
  <si>
    <t>131</t>
  </si>
  <si>
    <t>139</t>
  </si>
  <si>
    <t>167</t>
  </si>
  <si>
    <t>91</t>
  </si>
  <si>
    <t>60</t>
  </si>
  <si>
    <t>86</t>
  </si>
  <si>
    <t>99</t>
  </si>
  <si>
    <t>159</t>
  </si>
  <si>
    <t>165</t>
  </si>
  <si>
    <t>146</t>
  </si>
  <si>
    <t>116</t>
  </si>
  <si>
    <t>143</t>
  </si>
  <si>
    <t>28</t>
  </si>
  <si>
    <t>39</t>
  </si>
  <si>
    <t>34</t>
  </si>
  <si>
    <t>50</t>
  </si>
  <si>
    <t>45</t>
  </si>
  <si>
    <t>32</t>
  </si>
  <si>
    <t>36</t>
  </si>
  <si>
    <t>47</t>
  </si>
  <si>
    <t>62</t>
  </si>
  <si>
    <t>56</t>
  </si>
  <si>
    <t>598</t>
  </si>
  <si>
    <t>588</t>
  </si>
  <si>
    <t>584</t>
  </si>
  <si>
    <t>700</t>
  </si>
  <si>
    <t>813</t>
  </si>
  <si>
    <t>615</t>
  </si>
  <si>
    <t>600</t>
  </si>
  <si>
    <t>816</t>
  </si>
  <si>
    <t>826</t>
  </si>
  <si>
    <t>957</t>
  </si>
  <si>
    <t>951</t>
  </si>
  <si>
    <t>775</t>
  </si>
  <si>
    <t>773</t>
  </si>
  <si>
    <t>807</t>
  </si>
  <si>
    <t>8</t>
  </si>
  <si>
    <t>6</t>
  </si>
  <si>
    <t>0</t>
  </si>
  <si>
    <t>12</t>
  </si>
  <si>
    <t>15</t>
  </si>
  <si>
    <t>Engineering PM</t>
  </si>
  <si>
    <t>Engineering - Maintenance</t>
  </si>
  <si>
    <t>Custodial</t>
  </si>
  <si>
    <t>Trades</t>
  </si>
  <si>
    <t>Grounds</t>
  </si>
  <si>
    <t>&lt; 30 Days</t>
  </si>
  <si>
    <t>31-60 Days</t>
  </si>
  <si>
    <t>June 2012</t>
  </si>
  <si>
    <t>91-180 Days</t>
  </si>
  <si>
    <t>181-365 Days</t>
  </si>
  <si>
    <t xml:space="preserve">61-90 Days </t>
  </si>
  <si>
    <t>141</t>
  </si>
  <si>
    <t>386</t>
  </si>
  <si>
    <t>120</t>
  </si>
  <si>
    <t>Routine</t>
  </si>
  <si>
    <t>&gt;365 Days</t>
  </si>
  <si>
    <t>30-60 Days</t>
  </si>
  <si>
    <t xml:space="preserve">61- 90 Days </t>
  </si>
  <si>
    <t>522</t>
  </si>
  <si>
    <t>546</t>
  </si>
  <si>
    <t>16</t>
  </si>
  <si>
    <t>177</t>
  </si>
  <si>
    <t>164</t>
  </si>
  <si>
    <t>263</t>
  </si>
  <si>
    <t>256</t>
  </si>
  <si>
    <t>87</t>
  </si>
  <si>
    <t>90</t>
  </si>
  <si>
    <t>23</t>
  </si>
  <si>
    <t>295</t>
  </si>
  <si>
    <t>187</t>
  </si>
  <si>
    <t>312</t>
  </si>
  <si>
    <t>248</t>
  </si>
  <si>
    <t>92</t>
  </si>
  <si>
    <t>31</t>
  </si>
  <si>
    <t>151</t>
  </si>
  <si>
    <t>22</t>
  </si>
  <si>
    <t>17</t>
  </si>
  <si>
    <t>66</t>
  </si>
  <si>
    <t>101</t>
  </si>
  <si>
    <t>73</t>
  </si>
  <si>
    <t>88</t>
  </si>
  <si>
    <t>334</t>
  </si>
  <si>
    <t>11-20 days</t>
  </si>
  <si>
    <t>21-30 days</t>
  </si>
  <si>
    <t>31-60 days</t>
  </si>
  <si>
    <t>61-90 days</t>
  </si>
  <si>
    <t>&gt;91</t>
  </si>
  <si>
    <t>Changed methodology, no estimator on staff.  Conversation to web TMA. New estimator started July 16th.</t>
  </si>
  <si>
    <t>*</t>
  </si>
  <si>
    <t>*NOTE:</t>
  </si>
  <si>
    <t>1) Includes Energy Management costs WHICH HAD NOT BEEN INCLUDED IN PREVIOUS REPORTS</t>
  </si>
  <si>
    <t>2) Does not include accurals</t>
  </si>
  <si>
    <t>Estimates that took 30 days or less to customer</t>
  </si>
  <si>
    <t>Estimates that took 10 days or less to customer</t>
  </si>
  <si>
    <t>Calculated the average- module didn't work month of July</t>
  </si>
  <si>
    <t>Sept</t>
  </si>
  <si>
    <t># of Estimates to customer</t>
  </si>
  <si>
    <t>184</t>
  </si>
  <si>
    <t>169</t>
  </si>
  <si>
    <t>258</t>
  </si>
  <si>
    <t>239</t>
  </si>
  <si>
    <t>79</t>
  </si>
  <si>
    <t>69</t>
  </si>
  <si>
    <t>819</t>
  </si>
  <si>
    <t>679</t>
  </si>
  <si>
    <t>40</t>
  </si>
  <si>
    <t>453</t>
  </si>
  <si>
    <t>402</t>
  </si>
  <si>
    <t>480</t>
  </si>
  <si>
    <t>358</t>
  </si>
  <si>
    <t>24</t>
  </si>
  <si>
    <t>112</t>
  </si>
  <si>
    <t>76</t>
  </si>
  <si>
    <t>85</t>
  </si>
  <si>
    <t>233</t>
  </si>
  <si>
    <t>7</t>
  </si>
  <si>
    <t>9</t>
  </si>
  <si>
    <t>198</t>
  </si>
  <si>
    <t>179</t>
  </si>
  <si>
    <t>21</t>
  </si>
  <si>
    <t>27</t>
  </si>
  <si>
    <t>152</t>
  </si>
  <si>
    <t>3)</t>
  </si>
  <si>
    <t>Water Leak in the Matthaei Field could result in a $800,000 water charge</t>
  </si>
  <si>
    <t>which has NOT BEEN INCLUDED in the year end estimates.</t>
  </si>
  <si>
    <t>Total backlog</t>
  </si>
  <si>
    <t xml:space="preserve"> 1-10 days</t>
  </si>
  <si>
    <t>age distribution</t>
  </si>
  <si>
    <t>641</t>
  </si>
  <si>
    <t>687</t>
  </si>
  <si>
    <t>181</t>
  </si>
  <si>
    <t>329</t>
  </si>
  <si>
    <t>318</t>
  </si>
  <si>
    <t>160</t>
  </si>
  <si>
    <t>621</t>
  </si>
  <si>
    <t>956</t>
  </si>
  <si>
    <t>30</t>
  </si>
  <si>
    <t>122</t>
  </si>
  <si>
    <t>246</t>
  </si>
  <si>
    <t>328</t>
  </si>
  <si>
    <t>330</t>
  </si>
  <si>
    <t>565</t>
  </si>
  <si>
    <t>496</t>
  </si>
  <si>
    <t>231</t>
  </si>
  <si>
    <t>166</t>
  </si>
  <si>
    <t>33</t>
  </si>
  <si>
    <t>647</t>
  </si>
  <si>
    <t>671</t>
  </si>
  <si>
    <t>13</t>
  </si>
  <si>
    <t>221</t>
  </si>
  <si>
    <t>207</t>
  </si>
  <si>
    <t>339</t>
  </si>
  <si>
    <t>335</t>
  </si>
  <si>
    <t>97</t>
  </si>
  <si>
    <t>94</t>
  </si>
  <si>
    <t>307</t>
  </si>
  <si>
    <t>277</t>
  </si>
  <si>
    <t>234</t>
  </si>
  <si>
    <t>1081</t>
  </si>
  <si>
    <t>707</t>
  </si>
  <si>
    <t>55</t>
  </si>
  <si>
    <t>25</t>
  </si>
  <si>
    <t>532</t>
  </si>
  <si>
    <t>415</t>
  </si>
  <si>
    <t>492</t>
  </si>
  <si>
    <t>Age distribution - number of days to estimate to customer</t>
  </si>
  <si>
    <t>1-10 days</t>
  </si>
  <si>
    <t>308</t>
  </si>
  <si>
    <t>= With some accruals</t>
  </si>
  <si>
    <t>= Accrued for Matthaei water leak</t>
  </si>
  <si>
    <t>FY2013</t>
  </si>
  <si>
    <t xml:space="preserve"> </t>
  </si>
  <si>
    <t>611</t>
  </si>
  <si>
    <t>645</t>
  </si>
  <si>
    <t>323</t>
  </si>
  <si>
    <t>119</t>
  </si>
  <si>
    <t>210</t>
  </si>
  <si>
    <t>205</t>
  </si>
  <si>
    <t>19</t>
  </si>
  <si>
    <t>18</t>
  </si>
  <si>
    <t>190</t>
  </si>
  <si>
    <t>186</t>
  </si>
  <si>
    <t>923</t>
  </si>
  <si>
    <t>689</t>
  </si>
  <si>
    <t>48</t>
  </si>
  <si>
    <t>114</t>
  </si>
  <si>
    <t>208</t>
  </si>
  <si>
    <t>486</t>
  </si>
  <si>
    <t>395</t>
  </si>
  <si>
    <t>Average age (days)</t>
  </si>
  <si>
    <t>No of PFA's Closed</t>
  </si>
  <si>
    <t>Dec</t>
  </si>
  <si>
    <t>157</t>
  </si>
  <si>
    <t>144</t>
  </si>
  <si>
    <t>Yellow highlight indicates new KPI measurement based on DUE DATE</t>
  </si>
  <si>
    <t>Accruals for FY12</t>
  </si>
  <si>
    <t>Steam</t>
  </si>
  <si>
    <t>Water</t>
  </si>
  <si>
    <t xml:space="preserve">Electric </t>
  </si>
  <si>
    <t xml:space="preserve">Gas </t>
  </si>
  <si>
    <t>Over Accrual</t>
  </si>
  <si>
    <t>697</t>
  </si>
  <si>
    <t>505</t>
  </si>
  <si>
    <t>20</t>
  </si>
  <si>
    <t>83</t>
  </si>
  <si>
    <t>104</t>
  </si>
  <si>
    <t>366</t>
  </si>
  <si>
    <t>306</t>
  </si>
  <si>
    <t>NOTES:</t>
  </si>
  <si>
    <t>Jan 2013</t>
  </si>
  <si>
    <t>196</t>
  </si>
  <si>
    <t>191</t>
  </si>
  <si>
    <t>182</t>
  </si>
  <si>
    <t>850</t>
  </si>
  <si>
    <t>677</t>
  </si>
  <si>
    <t>67</t>
  </si>
  <si>
    <t>212</t>
  </si>
  <si>
    <t>188</t>
  </si>
  <si>
    <t>362</t>
  </si>
  <si>
    <t>302</t>
  </si>
  <si>
    <t>Scott Hall &amp; Pharmacy are now of Detroit Thermal Steam</t>
  </si>
  <si>
    <t>Age distribution - number of days estimate to customer</t>
  </si>
  <si>
    <t>Business Services</t>
  </si>
  <si>
    <t>Plant Fund Closure Measurable (Petition to Close date -Plant Fund Closure date)</t>
  </si>
  <si>
    <t>D&amp;CS</t>
  </si>
  <si>
    <t>Petition to Close Measurable (Substantial Completion date-Petition to Close date)</t>
  </si>
  <si>
    <t>Whole Process</t>
  </si>
  <si>
    <t>Closure Measurable (Substantial Completion date-PFA Closure date)</t>
  </si>
  <si>
    <t xml:space="preserve">No of Petition to Close </t>
  </si>
  <si>
    <t>No of PFA Closed</t>
  </si>
  <si>
    <t>No of PFA's processed on time (&lt;30 days)</t>
  </si>
  <si>
    <t>Target</t>
  </si>
  <si>
    <t xml:space="preserve">Aug </t>
  </si>
  <si>
    <t xml:space="preserve">Sept </t>
  </si>
  <si>
    <t xml:space="preserve">Oct </t>
  </si>
  <si>
    <t xml:space="preserve">Dec </t>
  </si>
  <si>
    <t>373</t>
  </si>
  <si>
    <t>347</t>
  </si>
  <si>
    <t>155</t>
  </si>
  <si>
    <t>93</t>
  </si>
  <si>
    <t xml:space="preserve">Nov </t>
  </si>
  <si>
    <t>201</t>
  </si>
  <si>
    <t>189</t>
  </si>
  <si>
    <t>918</t>
  </si>
  <si>
    <t>735</t>
  </si>
  <si>
    <t>459</t>
  </si>
  <si>
    <t>371</t>
  </si>
  <si>
    <t>378</t>
  </si>
  <si>
    <t>Execution of Change order per month</t>
  </si>
  <si>
    <t>% in 45 days or less</t>
  </si>
  <si>
    <t xml:space="preserve">No of Change Orders </t>
  </si>
  <si>
    <t>No of Change Orders processed on time (&lt;45 days)</t>
  </si>
  <si>
    <t>Mar</t>
  </si>
  <si>
    <t>333</t>
  </si>
  <si>
    <t>423</t>
  </si>
  <si>
    <t>482</t>
  </si>
  <si>
    <t>134</t>
  </si>
  <si>
    <t>245</t>
  </si>
  <si>
    <t>218</t>
  </si>
  <si>
    <t>65</t>
  </si>
  <si>
    <t>250</t>
  </si>
  <si>
    <t>237</t>
  </si>
  <si>
    <t>238</t>
  </si>
  <si>
    <t>227</t>
  </si>
  <si>
    <t>931</t>
  </si>
  <si>
    <t>785</t>
  </si>
  <si>
    <t>460</t>
  </si>
  <si>
    <t>382</t>
  </si>
  <si>
    <t>INCLUDES Cohn, Law &amp; Engineering</t>
  </si>
  <si>
    <t>New PLD Rates are in effect starting in January 2013</t>
  </si>
  <si>
    <t>411</t>
  </si>
  <si>
    <t>452</t>
  </si>
  <si>
    <t>446</t>
  </si>
  <si>
    <t>391</t>
  </si>
  <si>
    <t>127</t>
  </si>
  <si>
    <t>985</t>
  </si>
  <si>
    <t>818</t>
  </si>
  <si>
    <t>71</t>
  </si>
  <si>
    <t>176</t>
  </si>
  <si>
    <t>136</t>
  </si>
  <si>
    <t>540</t>
  </si>
  <si>
    <t>443</t>
  </si>
  <si>
    <t>475</t>
  </si>
  <si>
    <t>442</t>
  </si>
  <si>
    <t>95</t>
  </si>
  <si>
    <t>81</t>
  </si>
  <si>
    <t>242</t>
  </si>
  <si>
    <t>129</t>
  </si>
  <si>
    <t>911</t>
  </si>
  <si>
    <t>804</t>
  </si>
  <si>
    <t>59</t>
  </si>
  <si>
    <t>493</t>
  </si>
  <si>
    <t>447</t>
  </si>
  <si>
    <t>590</t>
  </si>
  <si>
    <t>534</t>
  </si>
  <si>
    <t>195</t>
  </si>
  <si>
    <t>342</t>
  </si>
  <si>
    <t>305</t>
  </si>
  <si>
    <t>64</t>
  </si>
  <si>
    <t>54</t>
  </si>
  <si>
    <t>140</t>
  </si>
  <si>
    <t>109</t>
  </si>
  <si>
    <t>37</t>
  </si>
  <si>
    <t>35</t>
  </si>
  <si>
    <t xml:space="preserve">June  </t>
  </si>
  <si>
    <t>835</t>
  </si>
  <si>
    <t>730</t>
  </si>
  <si>
    <t>124</t>
  </si>
  <si>
    <t>498</t>
  </si>
  <si>
    <t>436</t>
  </si>
  <si>
    <t>435</t>
  </si>
  <si>
    <t>289</t>
  </si>
  <si>
    <t>(applied equally Oct - June)</t>
  </si>
  <si>
    <t>426</t>
  </si>
  <si>
    <t>506</t>
  </si>
  <si>
    <t>618</t>
  </si>
  <si>
    <t>232</t>
  </si>
  <si>
    <t>211</t>
  </si>
  <si>
    <t>942</t>
  </si>
  <si>
    <t>801</t>
  </si>
  <si>
    <t>68</t>
  </si>
  <si>
    <t>437</t>
  </si>
  <si>
    <t>266</t>
  </si>
  <si>
    <t>255</t>
  </si>
  <si>
    <t>922</t>
  </si>
  <si>
    <t>784</t>
  </si>
  <si>
    <t>52</t>
  </si>
  <si>
    <t>158</t>
  </si>
  <si>
    <t>484</t>
  </si>
  <si>
    <t>Aug</t>
  </si>
  <si>
    <t>200</t>
  </si>
  <si>
    <t>192</t>
  </si>
  <si>
    <t>839</t>
  </si>
  <si>
    <t>727</t>
  </si>
  <si>
    <t>194</t>
  </si>
  <si>
    <t>MichCon estimated for  August &amp; September</t>
  </si>
  <si>
    <t>All Utilities estimated for September</t>
  </si>
  <si>
    <t>PLD estimated for  August &amp; September</t>
  </si>
  <si>
    <t>296</t>
  </si>
  <si>
    <t>287</t>
  </si>
  <si>
    <t>943</t>
  </si>
  <si>
    <t>80</t>
  </si>
  <si>
    <t>430</t>
  </si>
  <si>
    <t>376</t>
  </si>
  <si>
    <t>FY2014</t>
  </si>
  <si>
    <t>Accruals for FY13</t>
  </si>
  <si>
    <t>229</t>
  </si>
  <si>
    <t>226</t>
  </si>
  <si>
    <t>225</t>
  </si>
  <si>
    <t>848</t>
  </si>
  <si>
    <t>711</t>
  </si>
  <si>
    <t>84</t>
  </si>
  <si>
    <t>137</t>
  </si>
  <si>
    <t>385</t>
  </si>
  <si>
    <t>344</t>
  </si>
  <si>
    <t>Nov</t>
  </si>
  <si>
    <t>895</t>
  </si>
  <si>
    <t>409</t>
  </si>
  <si>
    <t>341</t>
  </si>
  <si>
    <t>% in 150 days or less</t>
  </si>
  <si>
    <t>No of Projects processed on time (&lt;150 days)</t>
  </si>
  <si>
    <t>% in 180 days or less</t>
  </si>
  <si>
    <t>No of Projects processed on time (&lt;180 days)</t>
  </si>
  <si>
    <t>857</t>
  </si>
  <si>
    <t>317</t>
  </si>
  <si>
    <t>260</t>
  </si>
  <si>
    <t>Jan 2014</t>
  </si>
  <si>
    <t>216</t>
  </si>
  <si>
    <t>202</t>
  </si>
  <si>
    <t>847</t>
  </si>
  <si>
    <t>666</t>
  </si>
  <si>
    <t>215</t>
  </si>
  <si>
    <t>319</t>
  </si>
  <si>
    <t xml:space="preserve">Average Project Survey Scores </t>
  </si>
  <si>
    <t>% complete on time (estimates, planning)</t>
  </si>
  <si>
    <t>Planning and Estimating</t>
  </si>
  <si>
    <t>230</t>
  </si>
  <si>
    <t>219</t>
  </si>
  <si>
    <t>1039</t>
  </si>
  <si>
    <t>823</t>
  </si>
  <si>
    <t>72</t>
  </si>
  <si>
    <t>473</t>
  </si>
  <si>
    <t>149</t>
  </si>
  <si>
    <t>1017</t>
  </si>
  <si>
    <t>82</t>
  </si>
  <si>
    <t>259</t>
  </si>
  <si>
    <t>497</t>
  </si>
  <si>
    <t>408</t>
  </si>
  <si>
    <t>257</t>
  </si>
  <si>
    <t>252</t>
  </si>
  <si>
    <t>1012</t>
  </si>
  <si>
    <t>792</t>
  </si>
  <si>
    <t>244</t>
  </si>
  <si>
    <t>501</t>
  </si>
  <si>
    <t>418</t>
  </si>
  <si>
    <t>199</t>
  </si>
  <si>
    <t>963</t>
  </si>
  <si>
    <t>791</t>
  </si>
  <si>
    <t>527</t>
  </si>
  <si>
    <t>471</t>
  </si>
  <si>
    <t>236</t>
  </si>
  <si>
    <t>799</t>
  </si>
  <si>
    <t>664</t>
  </si>
  <si>
    <t>70</t>
  </si>
  <si>
    <t>431</t>
  </si>
  <si>
    <t>547</t>
  </si>
  <si>
    <t>444</t>
  </si>
  <si>
    <t>542</t>
  </si>
  <si>
    <t>413</t>
  </si>
  <si>
    <t>July PLD Bldgs are now on DTE, also being CHALLENDGED</t>
  </si>
  <si>
    <t>Curb Appeal III Project % complete per week</t>
  </si>
  <si>
    <t>Curb Appeal IV Project % complete per week</t>
  </si>
  <si>
    <t>794</t>
  </si>
  <si>
    <t>541</t>
  </si>
  <si>
    <t>MichCon estimated for July &amp; August</t>
  </si>
  <si>
    <t>All Utilities estimated for August</t>
  </si>
  <si>
    <t>DWSD estimated for August</t>
  </si>
  <si>
    <t>Work Not Done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</si>
</sst>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[Red]\(#,##0.0\)"/>
    <numFmt numFmtId="165" formatCode="&quot;$&quot;#,##0"/>
    <numFmt numFmtId="166" formatCode="0.0%"/>
    <numFmt numFmtId="167" formatCode="m/d/yy;@"/>
    <numFmt numFmtId="168" formatCode="#,##0;[Red]#,##0"/>
    <numFmt numFmtId="169" formatCode="_(* #,##0_);_(* \(#,##0\);_(* &quot;-&quot;??_);_(@_)"/>
    <numFmt numFmtId="170" formatCode="_(&quot;$&quot;* #,##0_);_(&quot;$&quot;* \(#,##0\);_(&quot;$&quot;* &quot;-&quot;??_);_(@_)"/>
    <numFmt numFmtId="171" formatCode="[$-409]mmm\-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</font>
    <font>
      <sz val="14"/>
      <color theme="1"/>
      <name val="Calibri"/>
      <family val="2"/>
    </font>
    <font>
      <sz val="12"/>
      <name val="Calibri"/>
      <family val="2"/>
    </font>
    <font>
      <b/>
      <sz val="14"/>
      <color theme="1"/>
      <name val="Calibri"/>
      <family val="2"/>
    </font>
    <font>
      <sz val="12"/>
      <color rgb="FFFF0000"/>
      <name val="Calibri"/>
      <family val="2"/>
    </font>
    <font>
      <b/>
      <sz val="12"/>
      <color theme="1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4"/>
      <color rgb="FFFF0000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66FF6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</cellStyleXfs>
  <cellXfs count="297">
    <xf numFmtId="0" fontId="0" fillId="0" borderId="0" xfId="0"/>
    <xf numFmtId="17" fontId="0" fillId="0" borderId="0" xfId="0" applyNumberFormat="1"/>
    <xf numFmtId="17" fontId="0" fillId="0" borderId="0" xfId="0" quotePrefix="1" applyNumberFormat="1"/>
    <xf numFmtId="0" fontId="0" fillId="0" borderId="0" xfId="0" applyFont="1"/>
    <xf numFmtId="0" fontId="2" fillId="0" borderId="0" xfId="0" applyFont="1"/>
    <xf numFmtId="167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horizontal="center"/>
    </xf>
    <xf numFmtId="9" fontId="0" fillId="0" borderId="0" xfId="1" applyFont="1" applyAlignment="1">
      <alignment horizontal="center"/>
    </xf>
    <xf numFmtId="38" fontId="0" fillId="0" borderId="0" xfId="1" applyNumberFormat="1" applyFont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17" fontId="0" fillId="0" borderId="0" xfId="0" applyNumberFormat="1" applyFont="1"/>
    <xf numFmtId="17" fontId="0" fillId="0" borderId="0" xfId="0" applyNumberFormat="1" applyFont="1" applyAlignment="1">
      <alignment horizontal="center"/>
    </xf>
    <xf numFmtId="17" fontId="0" fillId="0" borderId="0" xfId="0" quotePrefix="1" applyNumberFormat="1" applyFont="1"/>
    <xf numFmtId="17" fontId="0" fillId="0" borderId="0" xfId="0" quotePrefix="1" applyNumberFormat="1" applyFont="1" applyAlignment="1">
      <alignment horizontal="center"/>
    </xf>
    <xf numFmtId="38" fontId="0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9" fontId="0" fillId="0" borderId="0" xfId="1" applyFont="1" applyAlignment="1">
      <alignment horizontal="left"/>
    </xf>
    <xf numFmtId="10" fontId="0" fillId="0" borderId="0" xfId="1" applyNumberFormat="1" applyFont="1" applyAlignment="1">
      <alignment horizontal="left"/>
    </xf>
    <xf numFmtId="38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9" fontId="0" fillId="0" borderId="0" xfId="0" applyNumberFormat="1" applyAlignment="1">
      <alignment horizontal="left"/>
    </xf>
    <xf numFmtId="0" fontId="3" fillId="0" borderId="0" xfId="0" applyFont="1" applyFill="1" applyBorder="1"/>
    <xf numFmtId="17" fontId="3" fillId="0" borderId="0" xfId="0" applyNumberFormat="1" applyFont="1" applyFill="1" applyBorder="1"/>
    <xf numFmtId="9" fontId="3" fillId="0" borderId="0" xfId="0" applyNumberFormat="1" applyFont="1" applyFill="1" applyBorder="1"/>
    <xf numFmtId="9" fontId="3" fillId="0" borderId="0" xfId="1" applyFont="1" applyFill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0" xfId="0" applyFont="1" applyFill="1" applyBorder="1" applyAlignment="1">
      <alignment wrapText="1"/>
    </xf>
    <xf numFmtId="168" fontId="3" fillId="0" borderId="0" xfId="1" applyNumberFormat="1" applyFont="1" applyFill="1" applyBorder="1"/>
    <xf numFmtId="168" fontId="3" fillId="0" borderId="0" xfId="0" applyNumberFormat="1" applyFont="1" applyFill="1" applyBorder="1"/>
    <xf numFmtId="1" fontId="0" fillId="0" borderId="0" xfId="0" applyNumberFormat="1"/>
    <xf numFmtId="0" fontId="0" fillId="0" borderId="0" xfId="1" applyNumberFormat="1" applyFont="1" applyAlignment="1">
      <alignment horizontal="left"/>
    </xf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38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38" fontId="0" fillId="0" borderId="0" xfId="0" applyNumberFormat="1" applyAlignment="1">
      <alignment horizontal="left"/>
    </xf>
    <xf numFmtId="1" fontId="3" fillId="0" borderId="0" xfId="0" applyNumberFormat="1" applyFont="1" applyFill="1" applyBorder="1"/>
    <xf numFmtId="9" fontId="3" fillId="0" borderId="0" xfId="1" applyNumberFormat="1" applyFont="1" applyFill="1" applyBorder="1"/>
    <xf numFmtId="1" fontId="3" fillId="0" borderId="0" xfId="1" applyNumberFormat="1" applyFont="1" applyFill="1" applyBorder="1"/>
    <xf numFmtId="49" fontId="0" fillId="0" borderId="0" xfId="1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0" xfId="0" applyNumberFormat="1"/>
    <xf numFmtId="49" fontId="0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38" fontId="0" fillId="0" borderId="0" xfId="1" applyNumberFormat="1" applyFont="1" applyAlignment="1"/>
    <xf numFmtId="0" fontId="0" fillId="0" borderId="0" xfId="0" applyAlignment="1"/>
    <xf numFmtId="0" fontId="0" fillId="0" borderId="0" xfId="1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Border="1" applyAlignment="1">
      <alignment horizontal="left"/>
    </xf>
    <xf numFmtId="0" fontId="5" fillId="2" borderId="0" xfId="1" applyNumberFormat="1" applyFont="1" applyFill="1" applyBorder="1" applyAlignment="1">
      <alignment horizontal="left"/>
    </xf>
    <xf numFmtId="0" fontId="0" fillId="0" borderId="0" xfId="0" applyNumberFormat="1" applyBorder="1" applyAlignment="1">
      <alignment horizontal="left"/>
    </xf>
    <xf numFmtId="0" fontId="0" fillId="0" borderId="0" xfId="0" applyBorder="1"/>
    <xf numFmtId="0" fontId="5" fillId="2" borderId="0" xfId="0" applyFont="1" applyFill="1" applyBorder="1"/>
    <xf numFmtId="38" fontId="0" fillId="0" borderId="0" xfId="1" applyNumberFormat="1" applyFont="1" applyBorder="1" applyAlignment="1">
      <alignment horizontal="left"/>
    </xf>
    <xf numFmtId="0" fontId="0" fillId="0" borderId="0" xfId="1" applyNumberFormat="1" applyFont="1" applyBorder="1" applyAlignment="1">
      <alignment horizontal="left"/>
    </xf>
    <xf numFmtId="38" fontId="0" fillId="0" borderId="0" xfId="0" applyNumberFormat="1" applyBorder="1" applyAlignment="1">
      <alignment horizontal="left"/>
    </xf>
    <xf numFmtId="49" fontId="0" fillId="0" borderId="0" xfId="1" applyNumberFormat="1" applyFont="1" applyBorder="1" applyAlignment="1">
      <alignment horizontal="center"/>
    </xf>
    <xf numFmtId="0" fontId="0" fillId="0" borderId="0" xfId="0" applyFont="1" applyAlignment="1">
      <alignment horizontal="left"/>
    </xf>
    <xf numFmtId="38" fontId="0" fillId="0" borderId="0" xfId="0" applyNumberFormat="1" applyFont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/>
    <xf numFmtId="165" fontId="6" fillId="0" borderId="0" xfId="0" applyNumberFormat="1" applyFont="1"/>
    <xf numFmtId="165" fontId="6" fillId="0" borderId="1" xfId="0" applyNumberFormat="1" applyFont="1" applyBorder="1"/>
    <xf numFmtId="0" fontId="7" fillId="0" borderId="0" xfId="0" applyFont="1"/>
    <xf numFmtId="41" fontId="6" fillId="0" borderId="0" xfId="2" applyNumberFormat="1" applyFont="1"/>
    <xf numFmtId="9" fontId="6" fillId="0" borderId="0" xfId="1" applyFont="1"/>
    <xf numFmtId="0" fontId="6" fillId="0" borderId="0" xfId="0" applyFont="1" applyAlignment="1">
      <alignment wrapText="1"/>
    </xf>
    <xf numFmtId="0" fontId="6" fillId="0" borderId="0" xfId="0" applyFont="1" applyBorder="1"/>
    <xf numFmtId="0" fontId="6" fillId="0" borderId="1" xfId="0" applyFont="1" applyBorder="1"/>
    <xf numFmtId="165" fontId="6" fillId="0" borderId="0" xfId="3" applyNumberFormat="1" applyFont="1" applyBorder="1"/>
    <xf numFmtId="165" fontId="6" fillId="0" borderId="1" xfId="3" applyNumberFormat="1" applyFont="1" applyBorder="1"/>
    <xf numFmtId="166" fontId="6" fillId="0" borderId="1" xfId="1" applyNumberFormat="1" applyFont="1" applyBorder="1"/>
    <xf numFmtId="165" fontId="6" fillId="0" borderId="0" xfId="3" applyNumberFormat="1" applyFont="1"/>
    <xf numFmtId="166" fontId="6" fillId="0" borderId="0" xfId="1" applyNumberFormat="1" applyFont="1"/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3" borderId="2" xfId="0" applyFont="1" applyFill="1" applyBorder="1"/>
    <xf numFmtId="0" fontId="6" fillId="4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 wrapText="1"/>
    </xf>
    <xf numFmtId="0" fontId="8" fillId="4" borderId="2" xfId="0" applyFont="1" applyFill="1" applyBorder="1"/>
    <xf numFmtId="9" fontId="6" fillId="4" borderId="2" xfId="1" applyFont="1" applyFill="1" applyBorder="1" applyAlignment="1">
      <alignment horizontal="center" wrapText="1"/>
    </xf>
    <xf numFmtId="1" fontId="0" fillId="0" borderId="0" xfId="0" applyNumberFormat="1" applyFont="1" applyAlignment="1">
      <alignment horizontal="center" wrapText="1"/>
    </xf>
    <xf numFmtId="1" fontId="0" fillId="0" borderId="0" xfId="1" applyNumberFormat="1" applyFont="1" applyAlignment="1">
      <alignment horizontal="center"/>
    </xf>
    <xf numFmtId="2" fontId="0" fillId="0" borderId="0" xfId="0" applyNumberFormat="1"/>
    <xf numFmtId="1" fontId="0" fillId="0" borderId="0" xfId="0" applyNumberFormat="1" applyAlignment="1">
      <alignment horizontal="center"/>
    </xf>
    <xf numFmtId="166" fontId="0" fillId="0" borderId="0" xfId="0" applyNumberFormat="1" applyAlignment="1">
      <alignment horizontal="left"/>
    </xf>
    <xf numFmtId="0" fontId="6" fillId="5" borderId="2" xfId="0" applyFont="1" applyFill="1" applyBorder="1"/>
    <xf numFmtId="0" fontId="6" fillId="0" borderId="0" xfId="0" quotePrefix="1" applyFont="1"/>
    <xf numFmtId="165" fontId="6" fillId="5" borderId="0" xfId="3" applyNumberFormat="1" applyFont="1" applyFill="1"/>
    <xf numFmtId="0" fontId="6" fillId="0" borderId="0" xfId="0" applyFont="1" applyAlignment="1">
      <alignment horizontal="right"/>
    </xf>
    <xf numFmtId="0" fontId="3" fillId="0" borderId="0" xfId="0" applyFont="1"/>
    <xf numFmtId="14" fontId="0" fillId="0" borderId="0" xfId="0" applyNumberFormat="1"/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 wrapText="1"/>
    </xf>
    <xf numFmtId="38" fontId="0" fillId="0" borderId="0" xfId="0" applyNumberFormat="1" applyAlignment="1">
      <alignment horizontal="center"/>
    </xf>
    <xf numFmtId="165" fontId="6" fillId="0" borderId="1" xfId="3" applyNumberFormat="1" applyFont="1" applyFill="1" applyBorder="1"/>
    <xf numFmtId="0" fontId="9" fillId="0" borderId="0" xfId="0" applyFont="1"/>
    <xf numFmtId="0" fontId="0" fillId="0" borderId="0" xfId="0" applyNumberFormat="1"/>
    <xf numFmtId="0" fontId="0" fillId="0" borderId="0" xfId="0" quotePrefix="1" applyNumberFormat="1"/>
    <xf numFmtId="0" fontId="0" fillId="0" borderId="0" xfId="0" applyNumberFormat="1" applyFill="1" applyBorder="1" applyAlignment="1">
      <alignment horizontal="left"/>
    </xf>
    <xf numFmtId="17" fontId="0" fillId="0" borderId="0" xfId="0" applyNumberFormat="1" applyFill="1"/>
    <xf numFmtId="9" fontId="0" fillId="0" borderId="0" xfId="0" applyNumberFormat="1" applyFill="1" applyAlignment="1">
      <alignment horizontal="left"/>
    </xf>
    <xf numFmtId="9" fontId="0" fillId="0" borderId="0" xfId="1" applyFont="1" applyFill="1" applyAlignment="1">
      <alignment horizontal="left"/>
    </xf>
    <xf numFmtId="38" fontId="0" fillId="0" borderId="0" xfId="1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right"/>
    </xf>
    <xf numFmtId="49" fontId="0" fillId="0" borderId="0" xfId="1" applyNumberFormat="1" applyFont="1" applyFill="1" applyAlignment="1">
      <alignment horizontal="center"/>
    </xf>
    <xf numFmtId="9" fontId="0" fillId="0" borderId="0" xfId="1" applyFont="1" applyFill="1" applyAlignment="1">
      <alignment horizontal="center"/>
    </xf>
    <xf numFmtId="0" fontId="0" fillId="0" borderId="0" xfId="1" applyNumberFormat="1" applyFont="1" applyFill="1" applyAlignment="1">
      <alignment horizontal="center"/>
    </xf>
    <xf numFmtId="1" fontId="0" fillId="0" borderId="0" xfId="1" applyNumberFormat="1" applyFont="1" applyFill="1" applyAlignment="1">
      <alignment horizontal="center"/>
    </xf>
    <xf numFmtId="2" fontId="0" fillId="0" borderId="0" xfId="1" applyNumberFormat="1" applyFont="1" applyFill="1" applyAlignment="1">
      <alignment horizontal="center"/>
    </xf>
    <xf numFmtId="17" fontId="0" fillId="6" borderId="0" xfId="0" applyNumberFormat="1" applyFont="1" applyFill="1"/>
    <xf numFmtId="49" fontId="0" fillId="6" borderId="0" xfId="0" applyNumberFormat="1" applyFill="1"/>
    <xf numFmtId="17" fontId="0" fillId="6" borderId="0" xfId="0" applyNumberFormat="1" applyFill="1"/>
    <xf numFmtId="38" fontId="0" fillId="0" borderId="0" xfId="1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left"/>
    </xf>
    <xf numFmtId="165" fontId="10" fillId="5" borderId="1" xfId="3" applyNumberFormat="1" applyFont="1" applyFill="1" applyBorder="1"/>
    <xf numFmtId="169" fontId="10" fillId="0" borderId="0" xfId="2" applyNumberFormat="1" applyFont="1"/>
    <xf numFmtId="165" fontId="6" fillId="8" borderId="0" xfId="0" applyNumberFormat="1" applyFont="1" applyFill="1"/>
    <xf numFmtId="0" fontId="6" fillId="7" borderId="4" xfId="0" applyFont="1" applyFill="1" applyBorder="1" applyAlignment="1">
      <alignment horizontal="center"/>
    </xf>
    <xf numFmtId="0" fontId="6" fillId="7" borderId="5" xfId="0" applyFont="1" applyFill="1" applyBorder="1" applyAlignment="1">
      <alignment horizontal="center"/>
    </xf>
    <xf numFmtId="0" fontId="6" fillId="7" borderId="3" xfId="0" applyFont="1" applyFill="1" applyBorder="1" applyAlignment="1">
      <alignment horizontal="center"/>
    </xf>
    <xf numFmtId="0" fontId="6" fillId="7" borderId="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5" fontId="6" fillId="0" borderId="6" xfId="3" applyNumberFormat="1" applyFont="1" applyBorder="1"/>
    <xf numFmtId="165" fontId="6" fillId="0" borderId="7" xfId="3" applyNumberFormat="1" applyFont="1" applyBorder="1"/>
    <xf numFmtId="165" fontId="6" fillId="0" borderId="8" xfId="3" applyNumberFormat="1" applyFont="1" applyBorder="1"/>
    <xf numFmtId="165" fontId="6" fillId="0" borderId="9" xfId="3" applyNumberFormat="1" applyFont="1" applyBorder="1"/>
    <xf numFmtId="165" fontId="6" fillId="0" borderId="10" xfId="3" applyNumberFormat="1" applyFont="1" applyBorder="1"/>
    <xf numFmtId="165" fontId="6" fillId="0" borderId="11" xfId="3" applyNumberFormat="1" applyFont="1" applyBorder="1"/>
    <xf numFmtId="165" fontId="6" fillId="0" borderId="10" xfId="3" applyNumberFormat="1" applyFont="1" applyFill="1" applyBorder="1"/>
    <xf numFmtId="9" fontId="0" fillId="0" borderId="0" xfId="1" applyNumberFormat="1" applyFont="1" applyAlignment="1">
      <alignment horizontal="center"/>
    </xf>
    <xf numFmtId="0" fontId="11" fillId="0" borderId="0" xfId="0" applyFont="1" applyFill="1" applyBorder="1"/>
    <xf numFmtId="0" fontId="6" fillId="0" borderId="0" xfId="0" applyFont="1" applyFill="1"/>
    <xf numFmtId="0" fontId="0" fillId="0" borderId="0" xfId="0" applyNumberFormat="1" applyFont="1" applyAlignment="1">
      <alignment horizontal="center"/>
    </xf>
    <xf numFmtId="0" fontId="0" fillId="6" borderId="0" xfId="0" applyFill="1"/>
    <xf numFmtId="38" fontId="0" fillId="6" borderId="0" xfId="0" applyNumberFormat="1" applyFill="1" applyAlignment="1">
      <alignment horizontal="left"/>
    </xf>
    <xf numFmtId="9" fontId="0" fillId="0" borderId="0" xfId="1" applyFont="1"/>
    <xf numFmtId="164" fontId="0" fillId="6" borderId="0" xfId="1" applyNumberFormat="1" applyFont="1" applyFill="1" applyAlignment="1">
      <alignment horizontal="left"/>
    </xf>
    <xf numFmtId="0" fontId="0" fillId="6" borderId="0" xfId="0" applyFill="1" applyAlignment="1">
      <alignment horizontal="center"/>
    </xf>
    <xf numFmtId="0" fontId="2" fillId="0" borderId="0" xfId="0" applyFont="1" applyAlignment="1">
      <alignment horizontal="left"/>
    </xf>
    <xf numFmtId="0" fontId="6" fillId="0" borderId="0" xfId="0" applyFont="1" applyFill="1" applyBorder="1"/>
    <xf numFmtId="0" fontId="11" fillId="0" borderId="0" xfId="0" applyFont="1"/>
    <xf numFmtId="6" fontId="10" fillId="0" borderId="0" xfId="2" applyNumberFormat="1" applyFont="1"/>
    <xf numFmtId="6" fontId="0" fillId="0" borderId="0" xfId="0" applyNumberFormat="1"/>
    <xf numFmtId="0" fontId="2" fillId="9" borderId="12" xfId="0" applyFont="1" applyFill="1" applyBorder="1"/>
    <xf numFmtId="0" fontId="2" fillId="9" borderId="13" xfId="0" applyFont="1" applyFill="1" applyBorder="1"/>
    <xf numFmtId="0" fontId="2" fillId="9" borderId="14" xfId="0" applyFont="1" applyFill="1" applyBorder="1"/>
    <xf numFmtId="0" fontId="2" fillId="9" borderId="0" xfId="0" applyFont="1" applyFill="1" applyBorder="1"/>
    <xf numFmtId="0" fontId="2" fillId="9" borderId="15" xfId="0" applyFont="1" applyFill="1" applyBorder="1"/>
    <xf numFmtId="0" fontId="2" fillId="9" borderId="16" xfId="0" applyFont="1" applyFill="1" applyBorder="1"/>
    <xf numFmtId="0" fontId="2" fillId="9" borderId="17" xfId="0" applyFont="1" applyFill="1" applyBorder="1"/>
    <xf numFmtId="0" fontId="2" fillId="9" borderId="18" xfId="0" applyFont="1" applyFill="1" applyBorder="1"/>
    <xf numFmtId="0" fontId="3" fillId="6" borderId="0" xfId="0" applyFont="1" applyFill="1" applyBorder="1" applyAlignment="1">
      <alignment wrapText="1"/>
    </xf>
    <xf numFmtId="0" fontId="0" fillId="0" borderId="0" xfId="0" applyNumberFormat="1" applyAlignment="1">
      <alignment horizontal="right"/>
    </xf>
    <xf numFmtId="0" fontId="2" fillId="3" borderId="0" xfId="0" applyFont="1" applyFill="1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0" fillId="0" borderId="8" xfId="0" applyBorder="1"/>
    <xf numFmtId="0" fontId="0" fillId="0" borderId="9" xfId="0" applyFill="1" applyBorder="1"/>
    <xf numFmtId="0" fontId="0" fillId="0" borderId="11" xfId="0" applyBorder="1"/>
    <xf numFmtId="0" fontId="0" fillId="6" borderId="8" xfId="0" applyFill="1" applyBorder="1"/>
    <xf numFmtId="0" fontId="0" fillId="6" borderId="0" xfId="0" applyFill="1" applyBorder="1"/>
    <xf numFmtId="0" fontId="0" fillId="0" borderId="0" xfId="0" applyFill="1" applyBorder="1"/>
    <xf numFmtId="0" fontId="12" fillId="10" borderId="0" xfId="4" applyBorder="1"/>
    <xf numFmtId="0" fontId="14" fillId="12" borderId="0" xfId="6" applyBorder="1"/>
    <xf numFmtId="0" fontId="13" fillId="11" borderId="0" xfId="5" applyBorder="1"/>
    <xf numFmtId="0" fontId="15" fillId="0" borderId="0" xfId="0" applyFont="1" applyFill="1" applyBorder="1"/>
    <xf numFmtId="0" fontId="16" fillId="0" borderId="0" xfId="0" applyFont="1" applyFill="1" applyBorder="1"/>
    <xf numFmtId="165" fontId="6" fillId="3" borderId="8" xfId="3" applyNumberFormat="1" applyFont="1" applyFill="1" applyBorder="1"/>
    <xf numFmtId="38" fontId="0" fillId="0" borderId="0" xfId="1" applyNumberFormat="1" applyFont="1" applyFill="1" applyBorder="1" applyAlignment="1">
      <alignment horizontal="center"/>
    </xf>
    <xf numFmtId="0" fontId="12" fillId="10" borderId="0" xfId="4"/>
    <xf numFmtId="0" fontId="14" fillId="12" borderId="0" xfId="6"/>
    <xf numFmtId="0" fontId="13" fillId="11" borderId="0" xfId="5"/>
    <xf numFmtId="0" fontId="12" fillId="0" borderId="0" xfId="4" applyFill="1" applyBorder="1"/>
    <xf numFmtId="0" fontId="14" fillId="0" borderId="0" xfId="6" applyFill="1" applyBorder="1"/>
    <xf numFmtId="0" fontId="13" fillId="0" borderId="0" xfId="5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9" fontId="0" fillId="0" borderId="0" xfId="1" applyNumberFormat="1" applyFont="1" applyAlignment="1">
      <alignment horizontal="left" indent="1"/>
    </xf>
    <xf numFmtId="2" fontId="0" fillId="0" borderId="0" xfId="0" applyNumberFormat="1" applyFont="1" applyAlignment="1">
      <alignment horizontal="center"/>
    </xf>
    <xf numFmtId="0" fontId="0" fillId="0" borderId="10" xfId="0" applyFill="1" applyBorder="1" applyAlignment="1">
      <alignment horizontal="center"/>
    </xf>
    <xf numFmtId="0" fontId="0" fillId="6" borderId="9" xfId="0" applyFill="1" applyBorder="1"/>
    <xf numFmtId="170" fontId="6" fillId="0" borderId="0" xfId="3" applyNumberFormat="1" applyFont="1"/>
    <xf numFmtId="170" fontId="17" fillId="0" borderId="0" xfId="3" applyNumberFormat="1" applyFont="1"/>
    <xf numFmtId="42" fontId="2" fillId="0" borderId="0" xfId="2" applyNumberFormat="1" applyFont="1"/>
    <xf numFmtId="165" fontId="6" fillId="0" borderId="8" xfId="3" applyNumberFormat="1" applyFont="1" applyFill="1" applyBorder="1"/>
    <xf numFmtId="165" fontId="11" fillId="8" borderId="0" xfId="0" applyNumberFormat="1" applyFont="1" applyFill="1"/>
    <xf numFmtId="0" fontId="6" fillId="8" borderId="0" xfId="0" applyFont="1" applyFill="1"/>
    <xf numFmtId="0" fontId="3" fillId="0" borderId="0" xfId="0" applyFont="1" applyFill="1" applyBorder="1"/>
    <xf numFmtId="9" fontId="3" fillId="0" borderId="0" xfId="0" applyNumberFormat="1" applyFont="1" applyFill="1" applyBorder="1"/>
    <xf numFmtId="9" fontId="3" fillId="0" borderId="0" xfId="1" applyFont="1" applyFill="1" applyBorder="1"/>
    <xf numFmtId="0" fontId="0" fillId="0" borderId="0" xfId="0" applyBorder="1" applyAlignment="1"/>
    <xf numFmtId="49" fontId="0" fillId="6" borderId="0" xfId="0" applyNumberFormat="1" applyFill="1" applyAlignment="1">
      <alignment horizontal="left"/>
    </xf>
    <xf numFmtId="0" fontId="0" fillId="6" borderId="0" xfId="0" applyFill="1" applyAlignment="1">
      <alignment horizontal="left"/>
    </xf>
    <xf numFmtId="49" fontId="0" fillId="6" borderId="0" xfId="0" applyNumberFormat="1" applyFont="1" applyFill="1" applyAlignment="1">
      <alignment horizontal="center"/>
    </xf>
    <xf numFmtId="9" fontId="0" fillId="6" borderId="0" xfId="1" applyFont="1" applyFill="1" applyAlignment="1">
      <alignment horizontal="center"/>
    </xf>
    <xf numFmtId="17" fontId="0" fillId="6" borderId="0" xfId="0" quotePrefix="1" applyNumberFormat="1" applyFill="1"/>
    <xf numFmtId="9" fontId="0" fillId="6" borderId="0" xfId="1" applyFont="1" applyFill="1" applyAlignment="1">
      <alignment horizontal="left"/>
    </xf>
    <xf numFmtId="165" fontId="6" fillId="3" borderId="10" xfId="3" applyNumberFormat="1" applyFont="1" applyFill="1" applyBorder="1"/>
    <xf numFmtId="38" fontId="0" fillId="6" borderId="0" xfId="1" applyNumberFormat="1" applyFont="1" applyFill="1" applyAlignment="1">
      <alignment horizontal="left"/>
    </xf>
    <xf numFmtId="17" fontId="0" fillId="0" borderId="0" xfId="0" applyNumberFormat="1" applyFont="1" applyFill="1"/>
    <xf numFmtId="0" fontId="0" fillId="6" borderId="0" xfId="0" applyFont="1" applyFill="1" applyAlignment="1">
      <alignment horizontal="center"/>
    </xf>
    <xf numFmtId="49" fontId="0" fillId="0" borderId="0" xfId="0" applyNumberFormat="1" applyFill="1"/>
    <xf numFmtId="0" fontId="0" fillId="6" borderId="0" xfId="0" applyFill="1" applyBorder="1" applyAlignment="1">
      <alignment horizontal="left"/>
    </xf>
    <xf numFmtId="0" fontId="0" fillId="6" borderId="0" xfId="0" applyNumberFormat="1" applyFill="1" applyBorder="1" applyAlignment="1">
      <alignment horizontal="left"/>
    </xf>
    <xf numFmtId="0" fontId="1" fillId="6" borderId="0" xfId="6" applyFont="1" applyFill="1" applyBorder="1" applyAlignment="1">
      <alignment horizontal="left"/>
    </xf>
    <xf numFmtId="0" fontId="1" fillId="6" borderId="0" xfId="4" applyFont="1" applyFill="1" applyBorder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2" fillId="3" borderId="6" xfId="0" applyFont="1" applyFill="1" applyBorder="1"/>
    <xf numFmtId="6" fontId="2" fillId="3" borderId="19" xfId="0" applyNumberFormat="1" applyFont="1" applyFill="1" applyBorder="1"/>
    <xf numFmtId="0" fontId="2" fillId="3" borderId="19" xfId="0" applyFont="1" applyFill="1" applyBorder="1"/>
    <xf numFmtId="0" fontId="2" fillId="3" borderId="7" xfId="0" applyFont="1" applyFill="1" applyBorder="1"/>
    <xf numFmtId="0" fontId="2" fillId="3" borderId="10" xfId="0" applyFont="1" applyFill="1" applyBorder="1"/>
    <xf numFmtId="0" fontId="2" fillId="3" borderId="1" xfId="0" applyFont="1" applyFill="1" applyBorder="1"/>
    <xf numFmtId="0" fontId="2" fillId="3" borderId="11" xfId="0" applyFont="1" applyFill="1" applyBorder="1"/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18" fillId="0" borderId="0" xfId="0" applyNumberFormat="1" applyFont="1" applyAlignment="1">
      <alignment horizontal="center" wrapText="1"/>
    </xf>
    <xf numFmtId="0" fontId="18" fillId="0" borderId="0" xfId="0" applyFont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2" fillId="13" borderId="6" xfId="0" applyFont="1" applyFill="1" applyBorder="1"/>
    <xf numFmtId="6" fontId="2" fillId="13" borderId="19" xfId="0" applyNumberFormat="1" applyFont="1" applyFill="1" applyBorder="1"/>
    <xf numFmtId="0" fontId="2" fillId="13" borderId="19" xfId="0" applyFont="1" applyFill="1" applyBorder="1"/>
    <xf numFmtId="0" fontId="2" fillId="13" borderId="7" xfId="0" applyFont="1" applyFill="1" applyBorder="1"/>
    <xf numFmtId="0" fontId="2" fillId="13" borderId="10" xfId="0" applyFont="1" applyFill="1" applyBorder="1"/>
    <xf numFmtId="0" fontId="2" fillId="13" borderId="1" xfId="0" applyFont="1" applyFill="1" applyBorder="1"/>
    <xf numFmtId="0" fontId="2" fillId="13" borderId="11" xfId="0" applyFont="1" applyFill="1" applyBorder="1"/>
    <xf numFmtId="9" fontId="0" fillId="0" borderId="0" xfId="0" applyNumberFormat="1" applyAlignment="1">
      <alignment horizontal="center"/>
    </xf>
    <xf numFmtId="165" fontId="18" fillId="0" borderId="0" xfId="0" applyNumberFormat="1" applyFont="1"/>
    <xf numFmtId="49" fontId="0" fillId="0" borderId="0" xfId="0" applyNumberFormat="1" applyFont="1" applyAlignment="1">
      <alignment horizontal="center"/>
    </xf>
    <xf numFmtId="9" fontId="0" fillId="0" borderId="0" xfId="1" applyNumberFormat="1" applyFont="1"/>
    <xf numFmtId="49" fontId="0" fillId="0" borderId="0" xfId="0" applyNumberFormat="1" applyFont="1" applyAlignment="1">
      <alignment horizontal="center"/>
    </xf>
    <xf numFmtId="17" fontId="3" fillId="6" borderId="0" xfId="0" applyNumberFormat="1" applyFont="1" applyFill="1" applyBorder="1"/>
    <xf numFmtId="49" fontId="0" fillId="0" borderId="0" xfId="0" applyNumberFormat="1" applyFont="1" applyAlignment="1">
      <alignment horizontal="center"/>
    </xf>
    <xf numFmtId="0" fontId="0" fillId="0" borderId="0" xfId="0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0" fontId="2" fillId="3" borderId="17" xfId="0" applyFont="1" applyFill="1" applyBorder="1"/>
    <xf numFmtId="0" fontId="0" fillId="3" borderId="0" xfId="0" applyFill="1"/>
    <xf numFmtId="0" fontId="2" fillId="3" borderId="0" xfId="0" applyFont="1" applyFill="1"/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6" borderId="0" xfId="0" applyFill="1" applyAlignment="1">
      <alignment horizontal="left"/>
    </xf>
    <xf numFmtId="49" fontId="0" fillId="0" borderId="0" xfId="0" applyNumberFormat="1" applyFill="1"/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horizontal="center" vertical="center"/>
    </xf>
    <xf numFmtId="171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6" xfId="0" applyFont="1" applyBorder="1" applyAlignment="1">
      <alignment horizontal="left"/>
    </xf>
    <xf numFmtId="0" fontId="2" fillId="0" borderId="19" xfId="0" applyFont="1" applyBorder="1" applyAlignment="1"/>
    <xf numFmtId="0" fontId="2" fillId="0" borderId="7" xfId="0" applyFont="1" applyBorder="1" applyAlignment="1"/>
    <xf numFmtId="0" fontId="6" fillId="4" borderId="4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6" fillId="4" borderId="4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</cellXfs>
  <cellStyles count="7">
    <cellStyle name="Bad" xfId="5" builtinId="27"/>
    <cellStyle name="Comma" xfId="2" builtinId="3"/>
    <cellStyle name="Currency" xfId="3" builtinId="4"/>
    <cellStyle name="Good" xfId="4" builtinId="26"/>
    <cellStyle name="Neutral" xfId="6" builtinId="2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339966"/>
      <color rgb="FFFF9900"/>
      <color rgb="FF66FFFF"/>
      <color rgb="FF5D9E3C"/>
      <color rgb="FF66FF66"/>
      <color rgb="FF00FF00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calcChain" Target="calcChain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Curb Appeal Project</a:t>
            </a:r>
            <a:r>
              <a:rPr lang="en-US" baseline="0"/>
              <a:t> Phase I - Percent complete per week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3426392021577974E-2"/>
          <c:y val="8.36294379502701E-2"/>
          <c:w val="0.76624565430595371"/>
          <c:h val="0.8200839917275895"/>
        </c:manualLayout>
      </c:layout>
      <c:lineChart>
        <c:grouping val="standard"/>
        <c:varyColors val="0"/>
        <c:ser>
          <c:idx val="0"/>
          <c:order val="0"/>
          <c:tx>
            <c:strRef>
              <c:f>'Curb Appeal I &amp; II'!$B$2</c:f>
              <c:strCache>
                <c:ptCount val="1"/>
                <c:pt idx="0">
                  <c:v>Curb Appeal Project % complete per week</c:v>
                </c:pt>
              </c:strCache>
            </c:strRef>
          </c:tx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'Curb Appeal I &amp; II'!$A$3:$A$49</c:f>
              <c:numCache>
                <c:formatCode>m/d/yy;@</c:formatCode>
                <c:ptCount val="47"/>
                <c:pt idx="0">
                  <c:v>40818</c:v>
                </c:pt>
                <c:pt idx="1">
                  <c:v>40825</c:v>
                </c:pt>
                <c:pt idx="2">
                  <c:v>40832</c:v>
                </c:pt>
                <c:pt idx="3">
                  <c:v>40839</c:v>
                </c:pt>
                <c:pt idx="4">
                  <c:v>40846</c:v>
                </c:pt>
                <c:pt idx="5">
                  <c:v>40853</c:v>
                </c:pt>
                <c:pt idx="6">
                  <c:v>40860</c:v>
                </c:pt>
                <c:pt idx="7">
                  <c:v>40867</c:v>
                </c:pt>
                <c:pt idx="8">
                  <c:v>40874</c:v>
                </c:pt>
                <c:pt idx="9">
                  <c:v>40881</c:v>
                </c:pt>
                <c:pt idx="10">
                  <c:v>40888</c:v>
                </c:pt>
                <c:pt idx="11">
                  <c:v>40895</c:v>
                </c:pt>
                <c:pt idx="12">
                  <c:v>40902</c:v>
                </c:pt>
                <c:pt idx="13">
                  <c:v>40909</c:v>
                </c:pt>
                <c:pt idx="14">
                  <c:v>40916</c:v>
                </c:pt>
                <c:pt idx="15">
                  <c:v>40923</c:v>
                </c:pt>
                <c:pt idx="16">
                  <c:v>40930</c:v>
                </c:pt>
                <c:pt idx="17">
                  <c:v>40937</c:v>
                </c:pt>
                <c:pt idx="18">
                  <c:v>40944</c:v>
                </c:pt>
                <c:pt idx="19">
                  <c:v>40951</c:v>
                </c:pt>
                <c:pt idx="20">
                  <c:v>40958</c:v>
                </c:pt>
                <c:pt idx="21">
                  <c:v>40965</c:v>
                </c:pt>
                <c:pt idx="22">
                  <c:v>40972</c:v>
                </c:pt>
                <c:pt idx="23">
                  <c:v>40979</c:v>
                </c:pt>
                <c:pt idx="24">
                  <c:v>40986</c:v>
                </c:pt>
                <c:pt idx="25">
                  <c:v>40993</c:v>
                </c:pt>
                <c:pt idx="26">
                  <c:v>41000</c:v>
                </c:pt>
                <c:pt idx="27">
                  <c:v>41007</c:v>
                </c:pt>
                <c:pt idx="28">
                  <c:v>41014</c:v>
                </c:pt>
                <c:pt idx="29">
                  <c:v>41021</c:v>
                </c:pt>
                <c:pt idx="30">
                  <c:v>41028</c:v>
                </c:pt>
                <c:pt idx="31">
                  <c:v>41035</c:v>
                </c:pt>
                <c:pt idx="32">
                  <c:v>41042</c:v>
                </c:pt>
                <c:pt idx="33">
                  <c:v>41049</c:v>
                </c:pt>
                <c:pt idx="34">
                  <c:v>41056</c:v>
                </c:pt>
                <c:pt idx="35">
                  <c:v>41063</c:v>
                </c:pt>
                <c:pt idx="36">
                  <c:v>41070</c:v>
                </c:pt>
                <c:pt idx="37">
                  <c:v>41077</c:v>
                </c:pt>
                <c:pt idx="38">
                  <c:v>41084</c:v>
                </c:pt>
                <c:pt idx="39">
                  <c:v>41091</c:v>
                </c:pt>
                <c:pt idx="40">
                  <c:v>41098</c:v>
                </c:pt>
                <c:pt idx="41">
                  <c:v>41106</c:v>
                </c:pt>
                <c:pt idx="42">
                  <c:v>41112</c:v>
                </c:pt>
                <c:pt idx="43">
                  <c:v>41119</c:v>
                </c:pt>
                <c:pt idx="44">
                  <c:v>41126</c:v>
                </c:pt>
                <c:pt idx="45">
                  <c:v>41133</c:v>
                </c:pt>
                <c:pt idx="46">
                  <c:v>41140</c:v>
                </c:pt>
              </c:numCache>
            </c:numRef>
          </c:cat>
          <c:val>
            <c:numRef>
              <c:f>'Curb Appeal I &amp; II'!$B$3:$B$49</c:f>
              <c:numCache>
                <c:formatCode>General</c:formatCode>
                <c:ptCount val="47"/>
                <c:pt idx="0">
                  <c:v>16</c:v>
                </c:pt>
                <c:pt idx="1">
                  <c:v>16</c:v>
                </c:pt>
                <c:pt idx="2">
                  <c:v>17</c:v>
                </c:pt>
                <c:pt idx="3">
                  <c:v>17</c:v>
                </c:pt>
                <c:pt idx="4">
                  <c:v>20</c:v>
                </c:pt>
                <c:pt idx="5">
                  <c:v>20</c:v>
                </c:pt>
                <c:pt idx="6">
                  <c:v>21</c:v>
                </c:pt>
                <c:pt idx="7">
                  <c:v>21</c:v>
                </c:pt>
                <c:pt idx="8">
                  <c:v>22</c:v>
                </c:pt>
                <c:pt idx="9">
                  <c:v>25</c:v>
                </c:pt>
                <c:pt idx="10">
                  <c:v>28</c:v>
                </c:pt>
                <c:pt idx="11">
                  <c:v>29</c:v>
                </c:pt>
                <c:pt idx="12">
                  <c:v>29</c:v>
                </c:pt>
                <c:pt idx="13">
                  <c:v>33</c:v>
                </c:pt>
                <c:pt idx="14">
                  <c:v>37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45</c:v>
                </c:pt>
                <c:pt idx="19">
                  <c:v>49</c:v>
                </c:pt>
                <c:pt idx="20">
                  <c:v>53</c:v>
                </c:pt>
                <c:pt idx="21">
                  <c:v>56</c:v>
                </c:pt>
                <c:pt idx="22">
                  <c:v>60</c:v>
                </c:pt>
                <c:pt idx="23">
                  <c:v>62</c:v>
                </c:pt>
                <c:pt idx="24">
                  <c:v>65</c:v>
                </c:pt>
                <c:pt idx="25">
                  <c:v>67</c:v>
                </c:pt>
                <c:pt idx="26">
                  <c:v>71</c:v>
                </c:pt>
                <c:pt idx="27">
                  <c:v>73</c:v>
                </c:pt>
                <c:pt idx="28">
                  <c:v>75</c:v>
                </c:pt>
                <c:pt idx="29">
                  <c:v>77</c:v>
                </c:pt>
                <c:pt idx="30">
                  <c:v>79</c:v>
                </c:pt>
                <c:pt idx="31">
                  <c:v>81</c:v>
                </c:pt>
                <c:pt idx="32">
                  <c:v>82</c:v>
                </c:pt>
                <c:pt idx="33">
                  <c:v>84</c:v>
                </c:pt>
                <c:pt idx="34">
                  <c:v>91</c:v>
                </c:pt>
                <c:pt idx="35">
                  <c:v>94</c:v>
                </c:pt>
                <c:pt idx="36">
                  <c:v>95</c:v>
                </c:pt>
                <c:pt idx="37">
                  <c:v>95</c:v>
                </c:pt>
                <c:pt idx="38">
                  <c:v>97</c:v>
                </c:pt>
                <c:pt idx="39">
                  <c:v>97</c:v>
                </c:pt>
                <c:pt idx="40">
                  <c:v>97</c:v>
                </c:pt>
                <c:pt idx="41">
                  <c:v>98</c:v>
                </c:pt>
                <c:pt idx="42">
                  <c:v>98</c:v>
                </c:pt>
                <c:pt idx="43">
                  <c:v>99</c:v>
                </c:pt>
                <c:pt idx="44">
                  <c:v>99</c:v>
                </c:pt>
                <c:pt idx="45">
                  <c:v>99</c:v>
                </c:pt>
                <c:pt idx="46">
                  <c:v>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'Curb Appeal I &amp; II'!$C$2</c:f>
              <c:strCache>
                <c:ptCount val="1"/>
                <c:pt idx="0">
                  <c:v>Goal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50800">
                <a:solidFill>
                  <a:schemeClr val="accent2"/>
                </a:solidFill>
              </a:ln>
            </c:spPr>
            <c:trendlineType val="movingAvg"/>
            <c:period val="2"/>
            <c:dispRSqr val="0"/>
            <c:dispEq val="0"/>
          </c:trendline>
          <c:cat>
            <c:numRef>
              <c:f>'Curb Appeal I &amp; II'!$A$3:$A$49</c:f>
              <c:numCache>
                <c:formatCode>m/d/yy;@</c:formatCode>
                <c:ptCount val="47"/>
                <c:pt idx="0">
                  <c:v>40818</c:v>
                </c:pt>
                <c:pt idx="1">
                  <c:v>40825</c:v>
                </c:pt>
                <c:pt idx="2">
                  <c:v>40832</c:v>
                </c:pt>
                <c:pt idx="3">
                  <c:v>40839</c:v>
                </c:pt>
                <c:pt idx="4">
                  <c:v>40846</c:v>
                </c:pt>
                <c:pt idx="5">
                  <c:v>40853</c:v>
                </c:pt>
                <c:pt idx="6">
                  <c:v>40860</c:v>
                </c:pt>
                <c:pt idx="7">
                  <c:v>40867</c:v>
                </c:pt>
                <c:pt idx="8">
                  <c:v>40874</c:v>
                </c:pt>
                <c:pt idx="9">
                  <c:v>40881</c:v>
                </c:pt>
                <c:pt idx="10">
                  <c:v>40888</c:v>
                </c:pt>
                <c:pt idx="11">
                  <c:v>40895</c:v>
                </c:pt>
                <c:pt idx="12">
                  <c:v>40902</c:v>
                </c:pt>
                <c:pt idx="13">
                  <c:v>40909</c:v>
                </c:pt>
                <c:pt idx="14">
                  <c:v>40916</c:v>
                </c:pt>
                <c:pt idx="15">
                  <c:v>40923</c:v>
                </c:pt>
                <c:pt idx="16">
                  <c:v>40930</c:v>
                </c:pt>
                <c:pt idx="17">
                  <c:v>40937</c:v>
                </c:pt>
                <c:pt idx="18">
                  <c:v>40944</c:v>
                </c:pt>
                <c:pt idx="19">
                  <c:v>40951</c:v>
                </c:pt>
                <c:pt idx="20">
                  <c:v>40958</c:v>
                </c:pt>
                <c:pt idx="21">
                  <c:v>40965</c:v>
                </c:pt>
                <c:pt idx="22">
                  <c:v>40972</c:v>
                </c:pt>
                <c:pt idx="23">
                  <c:v>40979</c:v>
                </c:pt>
                <c:pt idx="24">
                  <c:v>40986</c:v>
                </c:pt>
                <c:pt idx="25">
                  <c:v>40993</c:v>
                </c:pt>
                <c:pt idx="26">
                  <c:v>41000</c:v>
                </c:pt>
                <c:pt idx="27">
                  <c:v>41007</c:v>
                </c:pt>
                <c:pt idx="28">
                  <c:v>41014</c:v>
                </c:pt>
                <c:pt idx="29">
                  <c:v>41021</c:v>
                </c:pt>
                <c:pt idx="30">
                  <c:v>41028</c:v>
                </c:pt>
                <c:pt idx="31">
                  <c:v>41035</c:v>
                </c:pt>
                <c:pt idx="32">
                  <c:v>41042</c:v>
                </c:pt>
                <c:pt idx="33">
                  <c:v>41049</c:v>
                </c:pt>
                <c:pt idx="34">
                  <c:v>41056</c:v>
                </c:pt>
                <c:pt idx="35">
                  <c:v>41063</c:v>
                </c:pt>
                <c:pt idx="36">
                  <c:v>41070</c:v>
                </c:pt>
                <c:pt idx="37">
                  <c:v>41077</c:v>
                </c:pt>
                <c:pt idx="38">
                  <c:v>41084</c:v>
                </c:pt>
                <c:pt idx="39">
                  <c:v>41091</c:v>
                </c:pt>
                <c:pt idx="40">
                  <c:v>41098</c:v>
                </c:pt>
                <c:pt idx="41">
                  <c:v>41106</c:v>
                </c:pt>
                <c:pt idx="42">
                  <c:v>41112</c:v>
                </c:pt>
                <c:pt idx="43">
                  <c:v>41119</c:v>
                </c:pt>
                <c:pt idx="44">
                  <c:v>41126</c:v>
                </c:pt>
                <c:pt idx="45">
                  <c:v>41133</c:v>
                </c:pt>
                <c:pt idx="46">
                  <c:v>41140</c:v>
                </c:pt>
              </c:numCache>
            </c:numRef>
          </c:cat>
          <c:val>
            <c:numRef>
              <c:f>'Curb Appeal I &amp; II'!$C$3:$C$49</c:f>
              <c:numCache>
                <c:formatCode>General</c:formatCode>
                <c:ptCount val="47"/>
                <c:pt idx="0">
                  <c:v>0</c:v>
                </c:pt>
                <c:pt idx="22">
                  <c:v>50</c:v>
                </c:pt>
                <c:pt idx="25">
                  <c:v>65</c:v>
                </c:pt>
                <c:pt idx="41">
                  <c:v>95</c:v>
                </c:pt>
                <c:pt idx="46">
                  <c:v>100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2490624"/>
        <c:axId val="142500608"/>
      </c:lineChart>
      <c:catAx>
        <c:axId val="142490624"/>
        <c:scaling>
          <c:orientation val="minMax"/>
        </c:scaling>
        <c:delete val="0"/>
        <c:axPos val="b"/>
        <c:numFmt formatCode="m/d/yy;@" sourceLinked="1"/>
        <c:majorTickMark val="none"/>
        <c:minorTickMark val="none"/>
        <c:tickLblPos val="nextTo"/>
        <c:crossAx val="142500608"/>
        <c:crosses val="autoZero"/>
        <c:auto val="0"/>
        <c:lblAlgn val="ctr"/>
        <c:lblOffset val="100"/>
        <c:noMultiLvlLbl val="0"/>
      </c:catAx>
      <c:valAx>
        <c:axId val="142500608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  <a:r>
                  <a:rPr lang="en-US" baseline="0"/>
                  <a:t> Complete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2490624"/>
        <c:crosses val="autoZero"/>
        <c:crossBetween val="between"/>
      </c:valAx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85420199464378344"/>
          <c:y val="0.36565369022905625"/>
          <c:w val="0.14458272772795619"/>
          <c:h val="0.2030552832079926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</a:t>
            </a:r>
          </a:p>
          <a:p>
            <a:pPr>
              <a:defRPr/>
            </a:pPr>
            <a:r>
              <a:rPr lang="en-US"/>
              <a:t>Engineering Maintenance</a:t>
            </a:r>
          </a:p>
        </c:rich>
      </c:tx>
      <c:layout>
        <c:manualLayout>
          <c:xMode val="edge"/>
          <c:yMode val="edge"/>
          <c:x val="0.32916017793017333"/>
          <c:y val="1.9006871332094725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Engineering!$B$2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Engineering!$A$15:$A$34</c:f>
              <c:numCache>
                <c:formatCode>mmm\-yy</c:formatCode>
                <c:ptCount val="20"/>
                <c:pt idx="0">
                  <c:v>41286</c:v>
                </c:pt>
                <c:pt idx="1">
                  <c:v>41317</c:v>
                </c:pt>
                <c:pt idx="2">
                  <c:v>41345</c:v>
                </c:pt>
                <c:pt idx="3">
                  <c:v>41376</c:v>
                </c:pt>
                <c:pt idx="4">
                  <c:v>41406</c:v>
                </c:pt>
                <c:pt idx="5">
                  <c:v>41437</c:v>
                </c:pt>
                <c:pt idx="6">
                  <c:v>41467</c:v>
                </c:pt>
                <c:pt idx="7">
                  <c:v>41498</c:v>
                </c:pt>
                <c:pt idx="8">
                  <c:v>41529</c:v>
                </c:pt>
                <c:pt idx="9">
                  <c:v>41559</c:v>
                </c:pt>
                <c:pt idx="10">
                  <c:v>41590</c:v>
                </c:pt>
                <c:pt idx="11">
                  <c:v>41620</c:v>
                </c:pt>
                <c:pt idx="12">
                  <c:v>41651</c:v>
                </c:pt>
                <c:pt idx="13">
                  <c:v>41682</c:v>
                </c:pt>
                <c:pt idx="14">
                  <c:v>41710</c:v>
                </c:pt>
                <c:pt idx="15">
                  <c:v>41741</c:v>
                </c:pt>
                <c:pt idx="16">
                  <c:v>41771</c:v>
                </c:pt>
                <c:pt idx="17">
                  <c:v>41802</c:v>
                </c:pt>
                <c:pt idx="18">
                  <c:v>41832</c:v>
                </c:pt>
                <c:pt idx="19">
                  <c:v>41863</c:v>
                </c:pt>
              </c:numCache>
            </c:numRef>
          </c:cat>
          <c:val>
            <c:numRef>
              <c:f>Engineering!$B$15:$B$34</c:f>
              <c:numCache>
                <c:formatCode>0</c:formatCode>
                <c:ptCount val="20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  <c:pt idx="12">
                  <c:v>300</c:v>
                </c:pt>
                <c:pt idx="13">
                  <c:v>300</c:v>
                </c:pt>
                <c:pt idx="14">
                  <c:v>300</c:v>
                </c:pt>
                <c:pt idx="15">
                  <c:v>300</c:v>
                </c:pt>
                <c:pt idx="16">
                  <c:v>300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Engineering!$C$2</c:f>
              <c:strCache>
                <c:ptCount val="1"/>
                <c:pt idx="0">
                  <c:v>Total #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Engineering!$A$15:$A$34</c:f>
              <c:numCache>
                <c:formatCode>mmm\-yy</c:formatCode>
                <c:ptCount val="20"/>
                <c:pt idx="0">
                  <c:v>41286</c:v>
                </c:pt>
                <c:pt idx="1">
                  <c:v>41317</c:v>
                </c:pt>
                <c:pt idx="2">
                  <c:v>41345</c:v>
                </c:pt>
                <c:pt idx="3">
                  <c:v>41376</c:v>
                </c:pt>
                <c:pt idx="4">
                  <c:v>41406</c:v>
                </c:pt>
                <c:pt idx="5">
                  <c:v>41437</c:v>
                </c:pt>
                <c:pt idx="6">
                  <c:v>41467</c:v>
                </c:pt>
                <c:pt idx="7">
                  <c:v>41498</c:v>
                </c:pt>
                <c:pt idx="8">
                  <c:v>41529</c:v>
                </c:pt>
                <c:pt idx="9">
                  <c:v>41559</c:v>
                </c:pt>
                <c:pt idx="10">
                  <c:v>41590</c:v>
                </c:pt>
                <c:pt idx="11">
                  <c:v>41620</c:v>
                </c:pt>
                <c:pt idx="12">
                  <c:v>41651</c:v>
                </c:pt>
                <c:pt idx="13">
                  <c:v>41682</c:v>
                </c:pt>
                <c:pt idx="14">
                  <c:v>41710</c:v>
                </c:pt>
                <c:pt idx="15">
                  <c:v>41741</c:v>
                </c:pt>
                <c:pt idx="16">
                  <c:v>41771</c:v>
                </c:pt>
                <c:pt idx="17">
                  <c:v>41802</c:v>
                </c:pt>
                <c:pt idx="18">
                  <c:v>41832</c:v>
                </c:pt>
                <c:pt idx="19">
                  <c:v>41863</c:v>
                </c:pt>
              </c:numCache>
            </c:numRef>
          </c:cat>
          <c:val>
            <c:numRef>
              <c:f>Engineering!$C$15:$C$34</c:f>
              <c:numCache>
                <c:formatCode>#,##0_);[Red]\(#,##0\)</c:formatCode>
                <c:ptCount val="20"/>
                <c:pt idx="0">
                  <c:v>346</c:v>
                </c:pt>
                <c:pt idx="1">
                  <c:v>377</c:v>
                </c:pt>
                <c:pt idx="2">
                  <c:v>286</c:v>
                </c:pt>
                <c:pt idx="3">
                  <c:v>285</c:v>
                </c:pt>
                <c:pt idx="4">
                  <c:v>533</c:v>
                </c:pt>
                <c:pt idx="5">
                  <c:v>461</c:v>
                </c:pt>
                <c:pt idx="6">
                  <c:v>531</c:v>
                </c:pt>
                <c:pt idx="7">
                  <c:v>644</c:v>
                </c:pt>
                <c:pt idx="8">
                  <c:v>502</c:v>
                </c:pt>
                <c:pt idx="9">
                  <c:v>342</c:v>
                </c:pt>
                <c:pt idx="10">
                  <c:v>279</c:v>
                </c:pt>
                <c:pt idx="11">
                  <c:v>285</c:v>
                </c:pt>
                <c:pt idx="12">
                  <c:v>395</c:v>
                </c:pt>
                <c:pt idx="13">
                  <c:v>309</c:v>
                </c:pt>
                <c:pt idx="14">
                  <c:v>322</c:v>
                </c:pt>
                <c:pt idx="15">
                  <c:v>369</c:v>
                </c:pt>
                <c:pt idx="16">
                  <c:v>346</c:v>
                </c:pt>
                <c:pt idx="17">
                  <c:v>248</c:v>
                </c:pt>
                <c:pt idx="18">
                  <c:v>232</c:v>
                </c:pt>
                <c:pt idx="19">
                  <c:v>333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Engineering!$D$2</c:f>
              <c:strCache>
                <c:ptCount val="1"/>
                <c:pt idx="0">
                  <c:v>  &gt; 30 Days Old</c:v>
                </c:pt>
              </c:strCache>
            </c:strRef>
          </c:tx>
          <c:dLbls>
            <c:dLbl>
              <c:idx val="0"/>
              <c:layout>
                <c:manualLayout>
                  <c:x val="-5.0541516245487361E-2"/>
                  <c:y val="3.1432031693005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Engineering!$A$15:$A$34</c:f>
              <c:numCache>
                <c:formatCode>mmm\-yy</c:formatCode>
                <c:ptCount val="20"/>
                <c:pt idx="0">
                  <c:v>41286</c:v>
                </c:pt>
                <c:pt idx="1">
                  <c:v>41317</c:v>
                </c:pt>
                <c:pt idx="2">
                  <c:v>41345</c:v>
                </c:pt>
                <c:pt idx="3">
                  <c:v>41376</c:v>
                </c:pt>
                <c:pt idx="4">
                  <c:v>41406</c:v>
                </c:pt>
                <c:pt idx="5">
                  <c:v>41437</c:v>
                </c:pt>
                <c:pt idx="6">
                  <c:v>41467</c:v>
                </c:pt>
                <c:pt idx="7">
                  <c:v>41498</c:v>
                </c:pt>
                <c:pt idx="8">
                  <c:v>41529</c:v>
                </c:pt>
                <c:pt idx="9">
                  <c:v>41559</c:v>
                </c:pt>
                <c:pt idx="10">
                  <c:v>41590</c:v>
                </c:pt>
                <c:pt idx="11">
                  <c:v>41620</c:v>
                </c:pt>
                <c:pt idx="12">
                  <c:v>41651</c:v>
                </c:pt>
                <c:pt idx="13">
                  <c:v>41682</c:v>
                </c:pt>
                <c:pt idx="14">
                  <c:v>41710</c:v>
                </c:pt>
                <c:pt idx="15">
                  <c:v>41741</c:v>
                </c:pt>
                <c:pt idx="16">
                  <c:v>41771</c:v>
                </c:pt>
                <c:pt idx="17">
                  <c:v>41802</c:v>
                </c:pt>
                <c:pt idx="18">
                  <c:v>41832</c:v>
                </c:pt>
                <c:pt idx="19">
                  <c:v>41863</c:v>
                </c:pt>
              </c:numCache>
            </c:numRef>
          </c:cat>
          <c:val>
            <c:numRef>
              <c:f>Engineering!$D$15:$D$34</c:f>
              <c:numCache>
                <c:formatCode>#,##0_);[Red]\(#,##0\)</c:formatCode>
                <c:ptCount val="20"/>
                <c:pt idx="0">
                  <c:v>121</c:v>
                </c:pt>
                <c:pt idx="1">
                  <c:v>179</c:v>
                </c:pt>
                <c:pt idx="2">
                  <c:v>123</c:v>
                </c:pt>
                <c:pt idx="3">
                  <c:v>59</c:v>
                </c:pt>
                <c:pt idx="4">
                  <c:v>95</c:v>
                </c:pt>
                <c:pt idx="5">
                  <c:v>220</c:v>
                </c:pt>
                <c:pt idx="6">
                  <c:v>181</c:v>
                </c:pt>
                <c:pt idx="7">
                  <c:v>194</c:v>
                </c:pt>
                <c:pt idx="8">
                  <c:v>201</c:v>
                </c:pt>
                <c:pt idx="9">
                  <c:v>29</c:v>
                </c:pt>
                <c:pt idx="10">
                  <c:v>97</c:v>
                </c:pt>
                <c:pt idx="11">
                  <c:v>93</c:v>
                </c:pt>
                <c:pt idx="12">
                  <c:v>150</c:v>
                </c:pt>
                <c:pt idx="13">
                  <c:v>142</c:v>
                </c:pt>
                <c:pt idx="14">
                  <c:v>187</c:v>
                </c:pt>
                <c:pt idx="15">
                  <c:v>141</c:v>
                </c:pt>
                <c:pt idx="16">
                  <c:v>89</c:v>
                </c:pt>
                <c:pt idx="17">
                  <c:v>50</c:v>
                </c:pt>
                <c:pt idx="18">
                  <c:v>104</c:v>
                </c:pt>
                <c:pt idx="19">
                  <c:v>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768512"/>
        <c:axId val="152770048"/>
      </c:lineChart>
      <c:dateAx>
        <c:axId val="15276851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52770048"/>
        <c:crosses val="autoZero"/>
        <c:auto val="1"/>
        <c:lblOffset val="100"/>
        <c:baseTimeUnit val="months"/>
      </c:dateAx>
      <c:valAx>
        <c:axId val="152770048"/>
        <c:scaling>
          <c:orientation val="minMax"/>
        </c:scaling>
        <c:delete val="0"/>
        <c:axPos val="l"/>
        <c:majorGridlines/>
        <c:numFmt formatCode="#,##0_);[Red]\(#,##0\)" sourceLinked="0"/>
        <c:majorTickMark val="out"/>
        <c:minorTickMark val="none"/>
        <c:tickLblPos val="nextTo"/>
        <c:crossAx val="1527685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 Time</a:t>
            </a:r>
          </a:p>
          <a:p>
            <a:pPr>
              <a:defRPr/>
            </a:pPr>
            <a:r>
              <a:rPr lang="en-US"/>
              <a:t>ENGINEERING MAINTENANCE</a:t>
            </a:r>
          </a:p>
        </c:rich>
      </c:tx>
      <c:layout>
        <c:manualLayout>
          <c:xMode val="edge"/>
          <c:yMode val="edge"/>
          <c:x val="0.25048403624204513"/>
          <c:y val="3.198252852510888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419937124903608E-2"/>
          <c:y val="0.21111682018662425"/>
          <c:w val="0.88221065139241628"/>
          <c:h val="0.55233966129882595"/>
        </c:manualLayout>
      </c:layout>
      <c:lineChart>
        <c:grouping val="standard"/>
        <c:varyColors val="0"/>
        <c:ser>
          <c:idx val="0"/>
          <c:order val="0"/>
          <c:tx>
            <c:strRef>
              <c:f>Engineering!$B$36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Engineering!$A$52:$A$71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Engineering!$B$37:$B$71</c:f>
              <c:numCache>
                <c:formatCode>0%</c:formatCode>
                <c:ptCount val="3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  <c:pt idx="24">
                  <c:v>0.9</c:v>
                </c:pt>
                <c:pt idx="25">
                  <c:v>0.9</c:v>
                </c:pt>
                <c:pt idx="26">
                  <c:v>0.9</c:v>
                </c:pt>
                <c:pt idx="27">
                  <c:v>0.9</c:v>
                </c:pt>
                <c:pt idx="28">
                  <c:v>0.9</c:v>
                </c:pt>
                <c:pt idx="29">
                  <c:v>0.9</c:v>
                </c:pt>
                <c:pt idx="30">
                  <c:v>0.9</c:v>
                </c:pt>
                <c:pt idx="31">
                  <c:v>0.9</c:v>
                </c:pt>
                <c:pt idx="32">
                  <c:v>0.9</c:v>
                </c:pt>
                <c:pt idx="33">
                  <c:v>0.9</c:v>
                </c:pt>
                <c:pt idx="3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Engineering!$E$36</c:f>
              <c:strCache>
                <c:ptCount val="1"/>
                <c:pt idx="0">
                  <c:v>Actual</c:v>
                </c:pt>
              </c:strCache>
            </c:strRef>
          </c:tx>
          <c:dLbls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Engineering!$A$52:$A$71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Engineering!$E$52:$E$71</c:f>
              <c:numCache>
                <c:formatCode>0%</c:formatCode>
                <c:ptCount val="20"/>
                <c:pt idx="0">
                  <c:v>0.93195266272189348</c:v>
                </c:pt>
                <c:pt idx="1">
                  <c:v>0.93029490616621979</c:v>
                </c:pt>
                <c:pt idx="2">
                  <c:v>0.87759336099585061</c:v>
                </c:pt>
                <c:pt idx="3">
                  <c:v>0.87668161434977576</c:v>
                </c:pt>
                <c:pt idx="4">
                  <c:v>0.93052631578947365</c:v>
                </c:pt>
                <c:pt idx="5">
                  <c:v>0.89181286549707606</c:v>
                </c:pt>
                <c:pt idx="6">
                  <c:v>0.83542039355992848</c:v>
                </c:pt>
                <c:pt idx="7">
                  <c:v>0.9315960912052117</c:v>
                </c:pt>
                <c:pt idx="8">
                  <c:v>0.86633663366336633</c:v>
                </c:pt>
                <c:pt idx="9">
                  <c:v>0.95227272727272727</c:v>
                </c:pt>
                <c:pt idx="10">
                  <c:v>0.93391304347826087</c:v>
                </c:pt>
                <c:pt idx="11">
                  <c:v>0.78435114503816794</c:v>
                </c:pt>
                <c:pt idx="12">
                  <c:v>0.92994505494505497</c:v>
                </c:pt>
                <c:pt idx="13">
                  <c:v>0.84317032040472173</c:v>
                </c:pt>
                <c:pt idx="14">
                  <c:v>0.89299610894941639</c:v>
                </c:pt>
                <c:pt idx="15">
                  <c:v>0.84615384615384615</c:v>
                </c:pt>
                <c:pt idx="16">
                  <c:v>0.82954545454545459</c:v>
                </c:pt>
                <c:pt idx="17">
                  <c:v>0.86917293233082704</c:v>
                </c:pt>
                <c:pt idx="18">
                  <c:v>0.93967093235831811</c:v>
                </c:pt>
                <c:pt idx="19">
                  <c:v>0.92417061611374407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795776"/>
        <c:axId val="152818048"/>
      </c:lineChart>
      <c:dateAx>
        <c:axId val="15279577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52818048"/>
        <c:crosses val="autoZero"/>
        <c:auto val="1"/>
        <c:lblOffset val="100"/>
        <c:baseTimeUnit val="months"/>
      </c:dateAx>
      <c:valAx>
        <c:axId val="152818048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2795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Engineering Backlog - Age Distribution 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3204981642267113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338909164785609"/>
          <c:y val="8.2537206918871592E-2"/>
          <c:w val="0.82285804598899592"/>
          <c:h val="0.60395929142174498"/>
        </c:manualLayout>
      </c:layout>
      <c:lineChart>
        <c:grouping val="standard"/>
        <c:varyColors val="0"/>
        <c:ser>
          <c:idx val="0"/>
          <c:order val="0"/>
          <c:tx>
            <c:strRef>
              <c:f>Engineering!$B$95</c:f>
              <c:strCache>
                <c:ptCount val="1"/>
                <c:pt idx="0">
                  <c:v>Total #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Engineering!$A$103:$A$122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Engineering!$B$103:$B$122</c:f>
              <c:numCache>
                <c:formatCode>General</c:formatCode>
                <c:ptCount val="20"/>
                <c:pt idx="0">
                  <c:v>346</c:v>
                </c:pt>
                <c:pt idx="1">
                  <c:v>377</c:v>
                </c:pt>
                <c:pt idx="2">
                  <c:v>286</c:v>
                </c:pt>
                <c:pt idx="3">
                  <c:v>285</c:v>
                </c:pt>
                <c:pt idx="4">
                  <c:v>533</c:v>
                </c:pt>
                <c:pt idx="5">
                  <c:v>461</c:v>
                </c:pt>
                <c:pt idx="6">
                  <c:v>531</c:v>
                </c:pt>
                <c:pt idx="7">
                  <c:v>644</c:v>
                </c:pt>
                <c:pt idx="8">
                  <c:v>502</c:v>
                </c:pt>
                <c:pt idx="9">
                  <c:v>342</c:v>
                </c:pt>
                <c:pt idx="10">
                  <c:v>279</c:v>
                </c:pt>
                <c:pt idx="11">
                  <c:v>285</c:v>
                </c:pt>
                <c:pt idx="12">
                  <c:v>395</c:v>
                </c:pt>
                <c:pt idx="13">
                  <c:v>309</c:v>
                </c:pt>
                <c:pt idx="14">
                  <c:v>322</c:v>
                </c:pt>
                <c:pt idx="15">
                  <c:v>369</c:v>
                </c:pt>
                <c:pt idx="16">
                  <c:v>346</c:v>
                </c:pt>
                <c:pt idx="17">
                  <c:v>248</c:v>
                </c:pt>
                <c:pt idx="18">
                  <c:v>232</c:v>
                </c:pt>
                <c:pt idx="19">
                  <c:v>333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Engineering!$C$95</c:f>
              <c:strCache>
                <c:ptCount val="1"/>
                <c:pt idx="0">
                  <c:v>&lt; 30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Engineering!$A$103:$A$122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Engineering!$C$103:$C$122</c:f>
              <c:numCache>
                <c:formatCode>General</c:formatCode>
                <c:ptCount val="20"/>
                <c:pt idx="0">
                  <c:v>225</c:v>
                </c:pt>
                <c:pt idx="1">
                  <c:v>198</c:v>
                </c:pt>
                <c:pt idx="2">
                  <c:v>163</c:v>
                </c:pt>
                <c:pt idx="3">
                  <c:v>226</c:v>
                </c:pt>
                <c:pt idx="4">
                  <c:v>438</c:v>
                </c:pt>
                <c:pt idx="5">
                  <c:v>241</c:v>
                </c:pt>
                <c:pt idx="6">
                  <c:v>350</c:v>
                </c:pt>
                <c:pt idx="7">
                  <c:v>450</c:v>
                </c:pt>
                <c:pt idx="8">
                  <c:v>301</c:v>
                </c:pt>
                <c:pt idx="9">
                  <c:v>313</c:v>
                </c:pt>
                <c:pt idx="10">
                  <c:v>182</c:v>
                </c:pt>
                <c:pt idx="11">
                  <c:v>192</c:v>
                </c:pt>
                <c:pt idx="12">
                  <c:v>245</c:v>
                </c:pt>
                <c:pt idx="13">
                  <c:v>167</c:v>
                </c:pt>
                <c:pt idx="14">
                  <c:v>135</c:v>
                </c:pt>
                <c:pt idx="15">
                  <c:v>228</c:v>
                </c:pt>
                <c:pt idx="16">
                  <c:v>257</c:v>
                </c:pt>
                <c:pt idx="17">
                  <c:v>198</c:v>
                </c:pt>
                <c:pt idx="18">
                  <c:v>128</c:v>
                </c:pt>
                <c:pt idx="19">
                  <c:v>236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Engineering!$D$95</c:f>
              <c:strCache>
                <c:ptCount val="1"/>
                <c:pt idx="0">
                  <c:v>31-60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Engineering!$A$103:$A$122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Engineering!$D$103:$D$122</c:f>
              <c:numCache>
                <c:formatCode>General</c:formatCode>
                <c:ptCount val="20"/>
                <c:pt idx="0">
                  <c:v>52</c:v>
                </c:pt>
                <c:pt idx="1">
                  <c:v>81</c:v>
                </c:pt>
                <c:pt idx="2">
                  <c:v>53</c:v>
                </c:pt>
                <c:pt idx="3">
                  <c:v>27</c:v>
                </c:pt>
                <c:pt idx="4">
                  <c:v>52</c:v>
                </c:pt>
                <c:pt idx="5">
                  <c:v>150</c:v>
                </c:pt>
                <c:pt idx="6">
                  <c:v>60</c:v>
                </c:pt>
                <c:pt idx="7">
                  <c:v>130</c:v>
                </c:pt>
                <c:pt idx="8">
                  <c:v>152</c:v>
                </c:pt>
                <c:pt idx="9">
                  <c:v>18</c:v>
                </c:pt>
                <c:pt idx="10">
                  <c:v>72</c:v>
                </c:pt>
                <c:pt idx="11">
                  <c:v>48</c:v>
                </c:pt>
                <c:pt idx="12">
                  <c:v>73</c:v>
                </c:pt>
                <c:pt idx="13">
                  <c:v>59</c:v>
                </c:pt>
                <c:pt idx="14">
                  <c:v>74</c:v>
                </c:pt>
                <c:pt idx="15">
                  <c:v>26</c:v>
                </c:pt>
                <c:pt idx="16">
                  <c:v>34</c:v>
                </c:pt>
                <c:pt idx="17">
                  <c:v>43</c:v>
                </c:pt>
                <c:pt idx="18">
                  <c:v>78</c:v>
                </c:pt>
                <c:pt idx="19">
                  <c:v>32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Engineering!$E$95</c:f>
              <c:strCache>
                <c:ptCount val="1"/>
                <c:pt idx="0">
                  <c:v>61-90 Days 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Engineering!$A$103:$A$122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Engineering!$E$103:$E$122</c:f>
              <c:numCache>
                <c:formatCode>General</c:formatCode>
                <c:ptCount val="20"/>
                <c:pt idx="0">
                  <c:v>18</c:v>
                </c:pt>
                <c:pt idx="1">
                  <c:v>37</c:v>
                </c:pt>
                <c:pt idx="2">
                  <c:v>31</c:v>
                </c:pt>
                <c:pt idx="3">
                  <c:v>24</c:v>
                </c:pt>
                <c:pt idx="4">
                  <c:v>19</c:v>
                </c:pt>
                <c:pt idx="5">
                  <c:v>34</c:v>
                </c:pt>
                <c:pt idx="6">
                  <c:v>86</c:v>
                </c:pt>
                <c:pt idx="7">
                  <c:v>18</c:v>
                </c:pt>
                <c:pt idx="8">
                  <c:v>46</c:v>
                </c:pt>
                <c:pt idx="9">
                  <c:v>6</c:v>
                </c:pt>
                <c:pt idx="10">
                  <c:v>16</c:v>
                </c:pt>
                <c:pt idx="11">
                  <c:v>40</c:v>
                </c:pt>
                <c:pt idx="12">
                  <c:v>38</c:v>
                </c:pt>
                <c:pt idx="13">
                  <c:v>27</c:v>
                </c:pt>
                <c:pt idx="14">
                  <c:v>47</c:v>
                </c:pt>
                <c:pt idx="15">
                  <c:v>41</c:v>
                </c:pt>
                <c:pt idx="16">
                  <c:v>13</c:v>
                </c:pt>
                <c:pt idx="17">
                  <c:v>3</c:v>
                </c:pt>
                <c:pt idx="18">
                  <c:v>19</c:v>
                </c:pt>
                <c:pt idx="19">
                  <c:v>49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Engineering!$F$95</c:f>
              <c:strCache>
                <c:ptCount val="1"/>
                <c:pt idx="0">
                  <c:v>91-180 Days</c:v>
                </c:pt>
              </c:strCache>
            </c:strRef>
          </c:tx>
          <c:dLbls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Engineering!$A$103:$A$122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Engineering!$F$103:$F$122</c:f>
              <c:numCache>
                <c:formatCode>General</c:formatCode>
                <c:ptCount val="20"/>
                <c:pt idx="0">
                  <c:v>49</c:v>
                </c:pt>
                <c:pt idx="1">
                  <c:v>57</c:v>
                </c:pt>
                <c:pt idx="2">
                  <c:v>32</c:v>
                </c:pt>
                <c:pt idx="3">
                  <c:v>4</c:v>
                </c:pt>
                <c:pt idx="4">
                  <c:v>20</c:v>
                </c:pt>
                <c:pt idx="5">
                  <c:v>30</c:v>
                </c:pt>
                <c:pt idx="6">
                  <c:v>31</c:v>
                </c:pt>
                <c:pt idx="7">
                  <c:v>42</c:v>
                </c:pt>
                <c:pt idx="8">
                  <c:v>2</c:v>
                </c:pt>
                <c:pt idx="9">
                  <c:v>4</c:v>
                </c:pt>
                <c:pt idx="10">
                  <c:v>8</c:v>
                </c:pt>
                <c:pt idx="11">
                  <c:v>5</c:v>
                </c:pt>
                <c:pt idx="12">
                  <c:v>39</c:v>
                </c:pt>
                <c:pt idx="13">
                  <c:v>55</c:v>
                </c:pt>
                <c:pt idx="14">
                  <c:v>63</c:v>
                </c:pt>
                <c:pt idx="15">
                  <c:v>44</c:v>
                </c:pt>
                <c:pt idx="16">
                  <c:v>18</c:v>
                </c:pt>
                <c:pt idx="17">
                  <c:v>2</c:v>
                </c:pt>
                <c:pt idx="18">
                  <c:v>5</c:v>
                </c:pt>
                <c:pt idx="19">
                  <c:v>14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Engineering!$G$95</c:f>
              <c:strCache>
                <c:ptCount val="1"/>
                <c:pt idx="0">
                  <c:v>181-365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Engineering!$A$103:$A$122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Engineering!$G$103:$G$122</c:f>
              <c:numCache>
                <c:formatCode>General</c:formatCode>
                <c:ptCount val="20"/>
                <c:pt idx="0">
                  <c:v>2</c:v>
                </c:pt>
                <c:pt idx="1">
                  <c:v>2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3</c:v>
                </c:pt>
                <c:pt idx="15">
                  <c:v>30</c:v>
                </c:pt>
                <c:pt idx="16">
                  <c:v>24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Engineering!$H$95</c:f>
              <c:strCache>
                <c:ptCount val="1"/>
                <c:pt idx="0">
                  <c:v>&gt;365 Days</c:v>
                </c:pt>
              </c:strCache>
            </c:strRef>
          </c:tx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Engineering!$A$103:$A$122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Engineering!$H$103:$H$122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137152"/>
        <c:axId val="153138688"/>
      </c:lineChart>
      <c:dateAx>
        <c:axId val="153137152"/>
        <c:scaling>
          <c:orientation val="minMax"/>
        </c:scaling>
        <c:delete val="1"/>
        <c:axPos val="b"/>
        <c:numFmt formatCode="mmm\-yy" sourceLinked="1"/>
        <c:majorTickMark val="none"/>
        <c:minorTickMark val="none"/>
        <c:tickLblPos val="nextTo"/>
        <c:crossAx val="153138688"/>
        <c:crosses val="autoZero"/>
        <c:auto val="1"/>
        <c:lblOffset val="100"/>
        <c:baseTimeUnit val="months"/>
      </c:dateAx>
      <c:valAx>
        <c:axId val="1531386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work orders</a:t>
                </a:r>
              </a:p>
            </c:rich>
          </c:tx>
          <c:layout>
            <c:manualLayout>
              <c:xMode val="edge"/>
              <c:yMode val="edge"/>
              <c:x val="2.2188359857399548E-2"/>
              <c:y val="0.2568571381710814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5313715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825337612967104E-2"/>
          <c:y val="0.1268383728456707"/>
          <c:w val="0.91995119914194545"/>
          <c:h val="0.62916501290997162"/>
        </c:manualLayout>
      </c:layout>
      <c:lineChart>
        <c:grouping val="standard"/>
        <c:varyColors val="0"/>
        <c:ser>
          <c:idx val="0"/>
          <c:order val="0"/>
          <c:tx>
            <c:strRef>
              <c:f>Grounds!$C$2</c:f>
              <c:strCache>
                <c:ptCount val="1"/>
                <c:pt idx="0">
                  <c:v>Total #</c:v>
                </c:pt>
              </c:strCache>
            </c:strRef>
          </c:tx>
          <c:cat>
            <c:numRef>
              <c:f>Grounds!$A$15:$A$34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Grounds!$C$15:$C$34</c:f>
              <c:numCache>
                <c:formatCode>General</c:formatCode>
                <c:ptCount val="20"/>
                <c:pt idx="0">
                  <c:v>0</c:v>
                </c:pt>
                <c:pt idx="1">
                  <c:v>4</c:v>
                </c:pt>
                <c:pt idx="2">
                  <c:v>11</c:v>
                </c:pt>
                <c:pt idx="3">
                  <c:v>3</c:v>
                </c:pt>
                <c:pt idx="4">
                  <c:v>4</c:v>
                </c:pt>
                <c:pt idx="5">
                  <c:v>7</c:v>
                </c:pt>
                <c:pt idx="6">
                  <c:v>1</c:v>
                </c:pt>
                <c:pt idx="7">
                  <c:v>6</c:v>
                </c:pt>
                <c:pt idx="8">
                  <c:v>1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3</c:v>
                </c:pt>
                <c:pt idx="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Grounds!$E$2</c:f>
              <c:strCache>
                <c:ptCount val="1"/>
                <c:pt idx="0">
                  <c:v>  &gt; 30 Days Old</c:v>
                </c:pt>
              </c:strCache>
            </c:strRef>
          </c:tx>
          <c:cat>
            <c:numRef>
              <c:f>Grounds!$A$15:$A$34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Grounds!$E$15:$E$34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2901888"/>
        <c:axId val="152915968"/>
      </c:lineChart>
      <c:dateAx>
        <c:axId val="152901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52915968"/>
        <c:crosses val="autoZero"/>
        <c:auto val="1"/>
        <c:lblOffset val="100"/>
        <c:baseTimeUnit val="months"/>
      </c:dateAx>
      <c:valAx>
        <c:axId val="152915968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9018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 Time</a:t>
            </a:r>
          </a:p>
          <a:p>
            <a:pPr>
              <a:defRPr/>
            </a:pPr>
            <a:r>
              <a:rPr lang="en-US"/>
              <a:t>GROUNDS</a:t>
            </a:r>
          </a:p>
        </c:rich>
      </c:tx>
      <c:layout>
        <c:manualLayout>
          <c:xMode val="edge"/>
          <c:yMode val="edge"/>
          <c:x val="0.2759982293050022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332061082006188E-2"/>
          <c:y val="0.14643108638204974"/>
          <c:w val="0.86510245980208644"/>
          <c:h val="0.67238555893104635"/>
        </c:manualLayout>
      </c:layout>
      <c:lineChart>
        <c:grouping val="standard"/>
        <c:varyColors val="0"/>
        <c:ser>
          <c:idx val="0"/>
          <c:order val="0"/>
          <c:tx>
            <c:strRef>
              <c:f>Grounds!$B$36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Grounds!$A$52:$A$71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Grounds!$B$52:$B$71</c:f>
              <c:numCache>
                <c:formatCode>0%</c:formatCode>
                <c:ptCount val="20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Grounds!$E$36</c:f>
              <c:strCache>
                <c:ptCount val="1"/>
                <c:pt idx="0">
                  <c:v>Actual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Grounds!$A$52:$A$71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Grounds!$E$52:$E$71</c:f>
              <c:numCache>
                <c:formatCode>0%</c:formatCode>
                <c:ptCount val="20"/>
                <c:pt idx="0">
                  <c:v>0.88888888888888884</c:v>
                </c:pt>
                <c:pt idx="1">
                  <c:v>0.8</c:v>
                </c:pt>
                <c:pt idx="2">
                  <c:v>0.14893617021276595</c:v>
                </c:pt>
                <c:pt idx="3">
                  <c:v>0.82352941176470584</c:v>
                </c:pt>
                <c:pt idx="4">
                  <c:v>0.8571428571428571</c:v>
                </c:pt>
                <c:pt idx="5">
                  <c:v>0.94594594594594594</c:v>
                </c:pt>
                <c:pt idx="6">
                  <c:v>1</c:v>
                </c:pt>
                <c:pt idx="7">
                  <c:v>0.8125</c:v>
                </c:pt>
                <c:pt idx="8">
                  <c:v>0.5</c:v>
                </c:pt>
                <c:pt idx="9">
                  <c:v>1</c:v>
                </c:pt>
                <c:pt idx="10">
                  <c:v>0.5</c:v>
                </c:pt>
                <c:pt idx="11">
                  <c:v>1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0.90909090909090906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945792"/>
        <c:axId val="152947328"/>
      </c:lineChart>
      <c:dateAx>
        <c:axId val="15294579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52947328"/>
        <c:crosses val="autoZero"/>
        <c:auto val="1"/>
        <c:lblOffset val="100"/>
        <c:baseTimeUnit val="months"/>
      </c:dateAx>
      <c:valAx>
        <c:axId val="152947328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1529457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2032663643061626"/>
          <c:y val="0.94191783598162304"/>
          <c:w val="0.40536829278744407"/>
          <c:h val="5.803800777206546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Grounds Backlog</a:t>
            </a:r>
            <a:r>
              <a:rPr lang="en-US" baseline="0"/>
              <a:t> - Age Distribution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Grounds!$C$94</c:f>
              <c:strCache>
                <c:ptCount val="1"/>
                <c:pt idx="0">
                  <c:v>Total #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Grounds!$B$102:$B$121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Grounds!$C$102:$C$121</c:f>
              <c:numCache>
                <c:formatCode>General</c:formatCode>
                <c:ptCount val="20"/>
                <c:pt idx="0">
                  <c:v>0</c:v>
                </c:pt>
                <c:pt idx="1">
                  <c:v>4</c:v>
                </c:pt>
                <c:pt idx="2">
                  <c:v>11</c:v>
                </c:pt>
                <c:pt idx="3">
                  <c:v>3</c:v>
                </c:pt>
                <c:pt idx="4">
                  <c:v>4</c:v>
                </c:pt>
                <c:pt idx="5">
                  <c:v>7</c:v>
                </c:pt>
                <c:pt idx="6">
                  <c:v>1</c:v>
                </c:pt>
                <c:pt idx="7">
                  <c:v>6</c:v>
                </c:pt>
                <c:pt idx="8">
                  <c:v>1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3</c:v>
                </c:pt>
                <c:pt idx="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Grounds!$D$94</c:f>
              <c:strCache>
                <c:ptCount val="1"/>
                <c:pt idx="0">
                  <c:v>&lt; 30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Grounds!$B$102:$B$121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Grounds!$D$102:$D$121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3</c:v>
                </c:pt>
                <c:pt idx="4">
                  <c:v>3</c:v>
                </c:pt>
                <c:pt idx="5">
                  <c:v>7</c:v>
                </c:pt>
                <c:pt idx="6">
                  <c:v>1</c:v>
                </c:pt>
                <c:pt idx="7">
                  <c:v>5</c:v>
                </c:pt>
                <c:pt idx="8">
                  <c:v>1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3</c:v>
                </c:pt>
                <c:pt idx="19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Grounds!$E$94</c:f>
              <c:strCache>
                <c:ptCount val="1"/>
                <c:pt idx="0">
                  <c:v>31-60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Grounds!$B$102:$B$121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Grounds!$E$102:$E$121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Grounds!$F$94</c:f>
              <c:strCache>
                <c:ptCount val="1"/>
                <c:pt idx="0">
                  <c:v>61-90 Days 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Grounds!$B$102:$B$121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Grounds!$F$102:$F$121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Grounds!$G$94</c:f>
              <c:strCache>
                <c:ptCount val="1"/>
                <c:pt idx="0">
                  <c:v>91-180 Days</c:v>
                </c:pt>
              </c:strCache>
            </c:strRef>
          </c:tx>
          <c:cat>
            <c:numRef>
              <c:f>Grounds!$B$102:$B$121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Grounds!$G$102:$G$121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Grounds!$H$94</c:f>
              <c:strCache>
                <c:ptCount val="1"/>
                <c:pt idx="0">
                  <c:v>181-365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Grounds!$B$102:$B$121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Grounds!$H$102:$H$121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Grounds!$I$94</c:f>
              <c:strCache>
                <c:ptCount val="1"/>
                <c:pt idx="0">
                  <c:v>&gt;365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Grounds!$B$102:$B$121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Grounds!$I$102:$I$121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864640"/>
        <c:axId val="152866176"/>
      </c:lineChart>
      <c:dateAx>
        <c:axId val="152864640"/>
        <c:scaling>
          <c:orientation val="minMax"/>
        </c:scaling>
        <c:delete val="1"/>
        <c:axPos val="b"/>
        <c:numFmt formatCode="mmm\-yy" sourceLinked="1"/>
        <c:majorTickMark val="none"/>
        <c:minorTickMark val="none"/>
        <c:tickLblPos val="nextTo"/>
        <c:crossAx val="152866176"/>
        <c:crosses val="autoZero"/>
        <c:auto val="1"/>
        <c:lblOffset val="100"/>
        <c:baseTimeUnit val="months"/>
      </c:dateAx>
      <c:valAx>
        <c:axId val="1528661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work orders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286464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- Trades Maintenance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67150312386218E-2"/>
          <c:y val="0.14014703788141261"/>
          <c:w val="0.89436117666698312"/>
          <c:h val="0.66286100609115728"/>
        </c:manualLayout>
      </c:layout>
      <c:lineChart>
        <c:grouping val="standard"/>
        <c:varyColors val="0"/>
        <c:ser>
          <c:idx val="0"/>
          <c:order val="0"/>
          <c:tx>
            <c:strRef>
              <c:f>Trades!$B$3</c:f>
              <c:strCache>
                <c:ptCount val="1"/>
                <c:pt idx="0">
                  <c:v>Goal</c:v>
                </c:pt>
              </c:strCache>
            </c:strRef>
          </c:tx>
          <c:dLbls>
            <c:delete val="1"/>
          </c:dLbls>
          <c:cat>
            <c:numRef>
              <c:f>Trades!$A$16:$A$35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Trades!$B$16:$B$35</c:f>
              <c:numCache>
                <c:formatCode>0</c:formatCode>
                <c:ptCount val="20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  <c:pt idx="12">
                  <c:v>300</c:v>
                </c:pt>
                <c:pt idx="13">
                  <c:v>300</c:v>
                </c:pt>
                <c:pt idx="14">
                  <c:v>300</c:v>
                </c:pt>
                <c:pt idx="15">
                  <c:v>300</c:v>
                </c:pt>
                <c:pt idx="16">
                  <c:v>300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Trades!$C$3</c:f>
              <c:strCache>
                <c:ptCount val="1"/>
                <c:pt idx="0">
                  <c:v>Total #</c:v>
                </c:pt>
              </c:strCache>
            </c:strRef>
          </c:tx>
          <c:cat>
            <c:numRef>
              <c:f>Trades!$A$16:$A$35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Trades!$C$16:$C$35</c:f>
              <c:numCache>
                <c:formatCode>General</c:formatCode>
                <c:ptCount val="20"/>
                <c:pt idx="0" formatCode="#,##0_);[Red]\(#,##0\)">
                  <c:v>545</c:v>
                </c:pt>
                <c:pt idx="1">
                  <c:v>460</c:v>
                </c:pt>
                <c:pt idx="2">
                  <c:v>468</c:v>
                </c:pt>
                <c:pt idx="3">
                  <c:v>388</c:v>
                </c:pt>
                <c:pt idx="4">
                  <c:v>410</c:v>
                </c:pt>
                <c:pt idx="5">
                  <c:v>453</c:v>
                </c:pt>
                <c:pt idx="6">
                  <c:v>384</c:v>
                </c:pt>
                <c:pt idx="7">
                  <c:v>350</c:v>
                </c:pt>
                <c:pt idx="8">
                  <c:v>356</c:v>
                </c:pt>
                <c:pt idx="9">
                  <c:v>469</c:v>
                </c:pt>
                <c:pt idx="10">
                  <c:v>472</c:v>
                </c:pt>
                <c:pt idx="11">
                  <c:v>350</c:v>
                </c:pt>
                <c:pt idx="12">
                  <c:v>593</c:v>
                </c:pt>
                <c:pt idx="13">
                  <c:v>637</c:v>
                </c:pt>
                <c:pt idx="14">
                  <c:v>580</c:v>
                </c:pt>
                <c:pt idx="15">
                  <c:v>621</c:v>
                </c:pt>
                <c:pt idx="16">
                  <c:v>501</c:v>
                </c:pt>
                <c:pt idx="17">
                  <c:v>480</c:v>
                </c:pt>
                <c:pt idx="18">
                  <c:v>573</c:v>
                </c:pt>
                <c:pt idx="19">
                  <c:v>682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Trades!$E$3</c:f>
              <c:strCache>
                <c:ptCount val="1"/>
                <c:pt idx="0">
                  <c:v>  &gt; 30 Days Old</c:v>
                </c:pt>
              </c:strCache>
            </c:strRef>
          </c:tx>
          <c:dLbls>
            <c:dLbl>
              <c:idx val="12"/>
              <c:layout>
                <c:manualLayout>
                  <c:x val="-2.4666914112718473E-3"/>
                  <c:y val="-9.83349898864656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Trades!$A$16:$A$35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Trades!$E$16:$E$35</c:f>
              <c:numCache>
                <c:formatCode>General</c:formatCode>
                <c:ptCount val="20"/>
                <c:pt idx="0" formatCode="#,##0_);[Red]\(#,##0\)">
                  <c:v>123</c:v>
                </c:pt>
                <c:pt idx="1">
                  <c:v>107</c:v>
                </c:pt>
                <c:pt idx="2">
                  <c:v>87</c:v>
                </c:pt>
                <c:pt idx="3">
                  <c:v>86</c:v>
                </c:pt>
                <c:pt idx="4">
                  <c:v>58</c:v>
                </c:pt>
                <c:pt idx="5">
                  <c:v>86</c:v>
                </c:pt>
                <c:pt idx="6">
                  <c:v>72</c:v>
                </c:pt>
                <c:pt idx="7">
                  <c:v>60</c:v>
                </c:pt>
                <c:pt idx="8">
                  <c:v>79</c:v>
                </c:pt>
                <c:pt idx="9">
                  <c:v>78</c:v>
                </c:pt>
                <c:pt idx="10">
                  <c:v>101</c:v>
                </c:pt>
                <c:pt idx="11">
                  <c:v>148</c:v>
                </c:pt>
                <c:pt idx="12">
                  <c:v>164</c:v>
                </c:pt>
                <c:pt idx="13">
                  <c:v>216</c:v>
                </c:pt>
                <c:pt idx="14">
                  <c:v>231</c:v>
                </c:pt>
                <c:pt idx="15">
                  <c:v>244</c:v>
                </c:pt>
                <c:pt idx="16">
                  <c:v>181</c:v>
                </c:pt>
                <c:pt idx="17">
                  <c:v>169</c:v>
                </c:pt>
                <c:pt idx="18">
                  <c:v>257</c:v>
                </c:pt>
                <c:pt idx="19">
                  <c:v>309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024000"/>
        <c:axId val="153508096"/>
      </c:lineChart>
      <c:dateAx>
        <c:axId val="15302400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53508096"/>
        <c:crosses val="autoZero"/>
        <c:auto val="1"/>
        <c:lblOffset val="100"/>
        <c:baseTimeUnit val="months"/>
      </c:dateAx>
      <c:valAx>
        <c:axId val="15350809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530240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536226665837443"/>
          <c:y val="0.93970463137996219"/>
          <c:w val="0.44511827879557586"/>
          <c:h val="6.0295368620037808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</a:t>
            </a:r>
            <a:r>
              <a:rPr lang="en-US" baseline="0"/>
              <a:t> Orders Completed on Time</a:t>
            </a:r>
          </a:p>
          <a:p>
            <a:pPr>
              <a:defRPr/>
            </a:pPr>
            <a:r>
              <a:rPr lang="en-US" baseline="0"/>
              <a:t>TRADES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810359266678588E-2"/>
          <c:y val="0.18183069070291707"/>
          <c:w val="0.90258454351210859"/>
          <c:h val="0.59873626850029782"/>
        </c:manualLayout>
      </c:layout>
      <c:lineChart>
        <c:grouping val="standard"/>
        <c:varyColors val="0"/>
        <c:ser>
          <c:idx val="0"/>
          <c:order val="0"/>
          <c:tx>
            <c:strRef>
              <c:f>Trades!$B$37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Trades!$A$53:$A$72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Trades!$B$53:$B$72</c:f>
              <c:numCache>
                <c:formatCode>0%</c:formatCode>
                <c:ptCount val="20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Trades!$E$37</c:f>
              <c:strCache>
                <c:ptCount val="1"/>
                <c:pt idx="0">
                  <c:v>Actual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Trades!$A$53:$A$72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Trades!$E$53:$E$72</c:f>
              <c:numCache>
                <c:formatCode>0%</c:formatCode>
                <c:ptCount val="20"/>
                <c:pt idx="0">
                  <c:v>0.79647058823529415</c:v>
                </c:pt>
                <c:pt idx="1">
                  <c:v>0.80065359477124187</c:v>
                </c:pt>
                <c:pt idx="2">
                  <c:v>0.8431793770139635</c:v>
                </c:pt>
                <c:pt idx="3">
                  <c:v>0.8304568527918782</c:v>
                </c:pt>
                <c:pt idx="4">
                  <c:v>0.88254665203073546</c:v>
                </c:pt>
                <c:pt idx="5">
                  <c:v>0.87425149700598803</c:v>
                </c:pt>
                <c:pt idx="6">
                  <c:v>0.85031847133757965</c:v>
                </c:pt>
                <c:pt idx="7">
                  <c:v>0.85032537960954446</c:v>
                </c:pt>
                <c:pt idx="8">
                  <c:v>0.86650774731823599</c:v>
                </c:pt>
                <c:pt idx="9">
                  <c:v>0.86850477200424181</c:v>
                </c:pt>
                <c:pt idx="10">
                  <c:v>0.83844339622641506</c:v>
                </c:pt>
                <c:pt idx="11">
                  <c:v>0.79217877094972067</c:v>
                </c:pt>
                <c:pt idx="12">
                  <c:v>0.78296382730455072</c:v>
                </c:pt>
                <c:pt idx="13">
                  <c:v>0.7863046044864227</c:v>
                </c:pt>
                <c:pt idx="14">
                  <c:v>0.79210779595765157</c:v>
                </c:pt>
                <c:pt idx="15">
                  <c:v>0.77089478859390359</c:v>
                </c:pt>
                <c:pt idx="16">
                  <c:v>0.78260869565217395</c:v>
                </c:pt>
                <c:pt idx="17">
                  <c:v>0.82139148494288683</c:v>
                </c:pt>
                <c:pt idx="18">
                  <c:v>0.83103879849812268</c:v>
                </c:pt>
                <c:pt idx="19">
                  <c:v>0.84199363732767762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529728"/>
        <c:axId val="153531520"/>
      </c:lineChart>
      <c:dateAx>
        <c:axId val="15352972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53531520"/>
        <c:crosses val="autoZero"/>
        <c:auto val="1"/>
        <c:lblOffset val="100"/>
        <c:baseTimeUnit val="months"/>
      </c:dateAx>
      <c:valAx>
        <c:axId val="15353152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3529728"/>
        <c:crosses val="autoZero"/>
        <c:crossBetween val="between"/>
        <c:majorUnit val="5.000000000000001E-2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Trades Maintenance Backlog - Age Distribution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Trades!$C$98</c:f>
              <c:strCache>
                <c:ptCount val="1"/>
                <c:pt idx="0">
                  <c:v>Total #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Trades!$B$106:$B$125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Trades!$C$106:$C$125</c:f>
              <c:numCache>
                <c:formatCode>General</c:formatCode>
                <c:ptCount val="20"/>
                <c:pt idx="0">
                  <c:v>545</c:v>
                </c:pt>
                <c:pt idx="1">
                  <c:v>460</c:v>
                </c:pt>
                <c:pt idx="2">
                  <c:v>468</c:v>
                </c:pt>
                <c:pt idx="3">
                  <c:v>388</c:v>
                </c:pt>
                <c:pt idx="4">
                  <c:v>410</c:v>
                </c:pt>
                <c:pt idx="5">
                  <c:v>453</c:v>
                </c:pt>
                <c:pt idx="6">
                  <c:v>384</c:v>
                </c:pt>
                <c:pt idx="7">
                  <c:v>350</c:v>
                </c:pt>
                <c:pt idx="8">
                  <c:v>356</c:v>
                </c:pt>
                <c:pt idx="9">
                  <c:v>469</c:v>
                </c:pt>
                <c:pt idx="10">
                  <c:v>472</c:v>
                </c:pt>
                <c:pt idx="11">
                  <c:v>350</c:v>
                </c:pt>
                <c:pt idx="12">
                  <c:v>593</c:v>
                </c:pt>
                <c:pt idx="13">
                  <c:v>637</c:v>
                </c:pt>
                <c:pt idx="14">
                  <c:v>580</c:v>
                </c:pt>
                <c:pt idx="15">
                  <c:v>621</c:v>
                </c:pt>
                <c:pt idx="16">
                  <c:v>501</c:v>
                </c:pt>
                <c:pt idx="17">
                  <c:v>480</c:v>
                </c:pt>
                <c:pt idx="18">
                  <c:v>573</c:v>
                </c:pt>
                <c:pt idx="19">
                  <c:v>682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Trades!$D$98</c:f>
              <c:strCache>
                <c:ptCount val="1"/>
                <c:pt idx="0">
                  <c:v>&lt; 30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Trades!$B$106:$B$125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Trades!$D$106:$D$125</c:f>
              <c:numCache>
                <c:formatCode>General</c:formatCode>
                <c:ptCount val="20"/>
                <c:pt idx="0">
                  <c:v>422</c:v>
                </c:pt>
                <c:pt idx="1">
                  <c:v>353</c:v>
                </c:pt>
                <c:pt idx="2">
                  <c:v>381</c:v>
                </c:pt>
                <c:pt idx="3">
                  <c:v>302</c:v>
                </c:pt>
                <c:pt idx="4">
                  <c:v>352</c:v>
                </c:pt>
                <c:pt idx="5">
                  <c:v>367</c:v>
                </c:pt>
                <c:pt idx="6">
                  <c:v>312</c:v>
                </c:pt>
                <c:pt idx="7">
                  <c:v>290</c:v>
                </c:pt>
                <c:pt idx="8">
                  <c:v>277</c:v>
                </c:pt>
                <c:pt idx="9">
                  <c:v>391</c:v>
                </c:pt>
                <c:pt idx="10">
                  <c:v>371</c:v>
                </c:pt>
                <c:pt idx="11">
                  <c:v>202</c:v>
                </c:pt>
                <c:pt idx="12">
                  <c:v>429</c:v>
                </c:pt>
                <c:pt idx="13">
                  <c:v>421</c:v>
                </c:pt>
                <c:pt idx="14">
                  <c:v>349</c:v>
                </c:pt>
                <c:pt idx="15">
                  <c:v>377</c:v>
                </c:pt>
                <c:pt idx="16">
                  <c:v>320</c:v>
                </c:pt>
                <c:pt idx="17">
                  <c:v>311</c:v>
                </c:pt>
                <c:pt idx="18">
                  <c:v>316</c:v>
                </c:pt>
                <c:pt idx="19">
                  <c:v>373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Trades!$E$98</c:f>
              <c:strCache>
                <c:ptCount val="1"/>
                <c:pt idx="0">
                  <c:v>31-60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Trades!$B$106:$B$125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Trades!$E$106:$E$125</c:f>
              <c:numCache>
                <c:formatCode>General</c:formatCode>
                <c:ptCount val="20"/>
                <c:pt idx="0">
                  <c:v>89</c:v>
                </c:pt>
                <c:pt idx="1">
                  <c:v>107</c:v>
                </c:pt>
                <c:pt idx="2">
                  <c:v>87</c:v>
                </c:pt>
                <c:pt idx="3">
                  <c:v>86</c:v>
                </c:pt>
                <c:pt idx="4">
                  <c:v>57</c:v>
                </c:pt>
                <c:pt idx="5">
                  <c:v>85</c:v>
                </c:pt>
                <c:pt idx="6">
                  <c:v>71</c:v>
                </c:pt>
                <c:pt idx="7">
                  <c:v>60</c:v>
                </c:pt>
                <c:pt idx="8">
                  <c:v>79</c:v>
                </c:pt>
                <c:pt idx="9">
                  <c:v>69</c:v>
                </c:pt>
                <c:pt idx="10">
                  <c:v>92</c:v>
                </c:pt>
                <c:pt idx="11">
                  <c:v>113</c:v>
                </c:pt>
                <c:pt idx="12">
                  <c:v>98</c:v>
                </c:pt>
                <c:pt idx="13">
                  <c:v>132</c:v>
                </c:pt>
                <c:pt idx="14">
                  <c:v>141</c:v>
                </c:pt>
                <c:pt idx="15">
                  <c:v>134</c:v>
                </c:pt>
                <c:pt idx="16">
                  <c:v>117</c:v>
                </c:pt>
                <c:pt idx="17">
                  <c:v>98</c:v>
                </c:pt>
                <c:pt idx="18">
                  <c:v>109</c:v>
                </c:pt>
                <c:pt idx="19">
                  <c:v>119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Trades!$F$98</c:f>
              <c:strCache>
                <c:ptCount val="1"/>
                <c:pt idx="0">
                  <c:v>61-90 Days 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Trades!$B$106:$B$125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Trades!$F$106:$F$125</c:f>
              <c:numCache>
                <c:formatCode>General</c:formatCode>
                <c:ptCount val="20"/>
                <c:pt idx="0">
                  <c:v>34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9</c:v>
                </c:pt>
                <c:pt idx="10">
                  <c:v>8</c:v>
                </c:pt>
                <c:pt idx="11">
                  <c:v>31</c:v>
                </c:pt>
                <c:pt idx="12">
                  <c:v>49</c:v>
                </c:pt>
                <c:pt idx="13">
                  <c:v>43</c:v>
                </c:pt>
                <c:pt idx="14">
                  <c:v>60</c:v>
                </c:pt>
                <c:pt idx="15">
                  <c:v>61</c:v>
                </c:pt>
                <c:pt idx="16">
                  <c:v>41</c:v>
                </c:pt>
                <c:pt idx="17">
                  <c:v>28</c:v>
                </c:pt>
                <c:pt idx="18">
                  <c:v>84</c:v>
                </c:pt>
                <c:pt idx="19">
                  <c:v>88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Trades!$G$98</c:f>
              <c:strCache>
                <c:ptCount val="1"/>
                <c:pt idx="0">
                  <c:v>91-180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Trades!$B$106:$B$125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Trades!$G$106:$G$125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4</c:v>
                </c:pt>
                <c:pt idx="12">
                  <c:v>17</c:v>
                </c:pt>
                <c:pt idx="13">
                  <c:v>40</c:v>
                </c:pt>
                <c:pt idx="14">
                  <c:v>29</c:v>
                </c:pt>
                <c:pt idx="15">
                  <c:v>46</c:v>
                </c:pt>
                <c:pt idx="16">
                  <c:v>14</c:v>
                </c:pt>
                <c:pt idx="17">
                  <c:v>38</c:v>
                </c:pt>
                <c:pt idx="18">
                  <c:v>55</c:v>
                </c:pt>
                <c:pt idx="19">
                  <c:v>91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Trades!$H$98</c:f>
              <c:strCache>
                <c:ptCount val="1"/>
                <c:pt idx="0">
                  <c:v>181-365 Days</c:v>
                </c:pt>
              </c:strCache>
            </c:strRef>
          </c:tx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Trades!$B$106:$B$125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Trades!$H$106:$H$125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9</c:v>
                </c:pt>
                <c:pt idx="17">
                  <c:v>5</c:v>
                </c:pt>
                <c:pt idx="18">
                  <c:v>9</c:v>
                </c:pt>
                <c:pt idx="19">
                  <c:v>10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Trades!$I$98</c:f>
              <c:strCache>
                <c:ptCount val="1"/>
                <c:pt idx="0">
                  <c:v>&gt;365 Days</c:v>
                </c:pt>
              </c:strCache>
            </c:strRef>
          </c:tx>
          <c:dLbls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Trades!$B$106:$B$125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Trades!$I$106:$I$125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604864"/>
        <c:axId val="153606400"/>
      </c:lineChart>
      <c:dateAx>
        <c:axId val="153604864"/>
        <c:scaling>
          <c:orientation val="minMax"/>
        </c:scaling>
        <c:delete val="1"/>
        <c:axPos val="b"/>
        <c:numFmt formatCode="mmm\-yy" sourceLinked="1"/>
        <c:majorTickMark val="none"/>
        <c:minorTickMark val="none"/>
        <c:tickLblPos val="nextTo"/>
        <c:crossAx val="153606400"/>
        <c:crosses val="autoZero"/>
        <c:auto val="1"/>
        <c:lblOffset val="100"/>
        <c:baseTimeUnit val="months"/>
      </c:dateAx>
      <c:valAx>
        <c:axId val="1536064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work orders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360486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Engineering PM Backlog - Age Distribution 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31075365296953339"/>
          <c:y val="5.47429602492830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970990634350192"/>
          <c:y val="7.7502050010804846E-2"/>
          <c:w val="0.86029009365649811"/>
          <c:h val="0.57792969645288106"/>
        </c:manualLayout>
      </c:layout>
      <c:lineChart>
        <c:grouping val="standard"/>
        <c:varyColors val="0"/>
        <c:ser>
          <c:idx val="0"/>
          <c:order val="0"/>
          <c:tx>
            <c:strRef>
              <c:f>'PM3'!$B$17</c:f>
              <c:strCache>
                <c:ptCount val="1"/>
                <c:pt idx="0">
                  <c:v>Total #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'PM3'!$A$25:$A$44</c:f>
              <c:strCache>
                <c:ptCount val="20"/>
                <c:pt idx="0">
                  <c:v>Jan 2013</c:v>
                </c:pt>
                <c:pt idx="1">
                  <c:v>Feb</c:v>
                </c:pt>
                <c:pt idx="2">
                  <c:v>Mar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 </c:v>
                </c:pt>
                <c:pt idx="10">
                  <c:v>Nov </c:v>
                </c:pt>
                <c:pt idx="11">
                  <c:v>Dec </c:v>
                </c:pt>
                <c:pt idx="12">
                  <c:v>Jan 2014</c:v>
                </c:pt>
                <c:pt idx="13">
                  <c:v>Feb</c:v>
                </c:pt>
                <c:pt idx="14">
                  <c:v>March</c:v>
                </c:pt>
                <c:pt idx="15">
                  <c:v>April</c:v>
                </c:pt>
                <c:pt idx="16">
                  <c:v>May</c:v>
                </c:pt>
                <c:pt idx="17">
                  <c:v>June</c:v>
                </c:pt>
                <c:pt idx="18">
                  <c:v>July</c:v>
                </c:pt>
                <c:pt idx="19">
                  <c:v>August</c:v>
                </c:pt>
              </c:strCache>
            </c:strRef>
          </c:cat>
          <c:val>
            <c:numRef>
              <c:f>'PM3'!$B$25:$B$44</c:f>
              <c:numCache>
                <c:formatCode>General</c:formatCode>
                <c:ptCount val="20"/>
                <c:pt idx="0">
                  <c:v>209</c:v>
                </c:pt>
                <c:pt idx="1">
                  <c:v>149</c:v>
                </c:pt>
                <c:pt idx="2">
                  <c:v>243</c:v>
                </c:pt>
                <c:pt idx="3">
                  <c:v>395</c:v>
                </c:pt>
                <c:pt idx="4">
                  <c:v>512</c:v>
                </c:pt>
                <c:pt idx="5">
                  <c:v>588</c:v>
                </c:pt>
                <c:pt idx="6">
                  <c:v>491</c:v>
                </c:pt>
                <c:pt idx="7">
                  <c:v>591</c:v>
                </c:pt>
                <c:pt idx="8">
                  <c:v>563</c:v>
                </c:pt>
                <c:pt idx="9">
                  <c:v>410</c:v>
                </c:pt>
                <c:pt idx="10">
                  <c:v>304</c:v>
                </c:pt>
                <c:pt idx="11">
                  <c:v>834</c:v>
                </c:pt>
                <c:pt idx="12">
                  <c:v>733</c:v>
                </c:pt>
                <c:pt idx="13">
                  <c:v>519</c:v>
                </c:pt>
                <c:pt idx="14">
                  <c:v>474</c:v>
                </c:pt>
                <c:pt idx="15">
                  <c:v>648</c:v>
                </c:pt>
                <c:pt idx="16">
                  <c:v>730</c:v>
                </c:pt>
                <c:pt idx="17">
                  <c:v>245</c:v>
                </c:pt>
                <c:pt idx="18">
                  <c:v>280</c:v>
                </c:pt>
                <c:pt idx="19">
                  <c:v>162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'PM3'!$D$17</c:f>
              <c:strCache>
                <c:ptCount val="1"/>
                <c:pt idx="0">
                  <c:v>&lt; 30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'PM3'!$A$25:$A$44</c:f>
              <c:strCache>
                <c:ptCount val="20"/>
                <c:pt idx="0">
                  <c:v>Jan 2013</c:v>
                </c:pt>
                <c:pt idx="1">
                  <c:v>Feb</c:v>
                </c:pt>
                <c:pt idx="2">
                  <c:v>Mar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 </c:v>
                </c:pt>
                <c:pt idx="10">
                  <c:v>Nov </c:v>
                </c:pt>
                <c:pt idx="11">
                  <c:v>Dec </c:v>
                </c:pt>
                <c:pt idx="12">
                  <c:v>Jan 2014</c:v>
                </c:pt>
                <c:pt idx="13">
                  <c:v>Feb</c:v>
                </c:pt>
                <c:pt idx="14">
                  <c:v>March</c:v>
                </c:pt>
                <c:pt idx="15">
                  <c:v>April</c:v>
                </c:pt>
                <c:pt idx="16">
                  <c:v>May</c:v>
                </c:pt>
                <c:pt idx="17">
                  <c:v>June</c:v>
                </c:pt>
                <c:pt idx="18">
                  <c:v>July</c:v>
                </c:pt>
                <c:pt idx="19">
                  <c:v>August</c:v>
                </c:pt>
              </c:strCache>
            </c:strRef>
          </c:cat>
          <c:val>
            <c:numRef>
              <c:f>'PM3'!$D$25:$D$44</c:f>
              <c:numCache>
                <c:formatCode>General</c:formatCode>
                <c:ptCount val="20"/>
                <c:pt idx="0">
                  <c:v>131</c:v>
                </c:pt>
                <c:pt idx="1">
                  <c:v>112</c:v>
                </c:pt>
                <c:pt idx="2">
                  <c:v>234</c:v>
                </c:pt>
                <c:pt idx="3">
                  <c:v>268</c:v>
                </c:pt>
                <c:pt idx="4">
                  <c:v>268</c:v>
                </c:pt>
                <c:pt idx="5">
                  <c:v>284</c:v>
                </c:pt>
                <c:pt idx="6">
                  <c:v>287</c:v>
                </c:pt>
                <c:pt idx="7">
                  <c:v>279</c:v>
                </c:pt>
                <c:pt idx="8">
                  <c:v>272</c:v>
                </c:pt>
                <c:pt idx="9">
                  <c:v>361</c:v>
                </c:pt>
                <c:pt idx="10">
                  <c:v>131</c:v>
                </c:pt>
                <c:pt idx="11">
                  <c:v>239</c:v>
                </c:pt>
                <c:pt idx="12">
                  <c:v>241</c:v>
                </c:pt>
                <c:pt idx="13">
                  <c:v>77</c:v>
                </c:pt>
                <c:pt idx="14">
                  <c:v>187</c:v>
                </c:pt>
                <c:pt idx="15">
                  <c:v>273</c:v>
                </c:pt>
                <c:pt idx="16">
                  <c:v>189</c:v>
                </c:pt>
                <c:pt idx="17">
                  <c:v>106</c:v>
                </c:pt>
                <c:pt idx="18">
                  <c:v>144</c:v>
                </c:pt>
                <c:pt idx="19">
                  <c:v>70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'PM3'!$E$17</c:f>
              <c:strCache>
                <c:ptCount val="1"/>
                <c:pt idx="0">
                  <c:v>30-60 Days</c:v>
                </c:pt>
              </c:strCache>
            </c:strRef>
          </c:tx>
          <c:dLbls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'PM3'!$A$25:$A$44</c:f>
              <c:strCache>
                <c:ptCount val="20"/>
                <c:pt idx="0">
                  <c:v>Jan 2013</c:v>
                </c:pt>
                <c:pt idx="1">
                  <c:v>Feb</c:v>
                </c:pt>
                <c:pt idx="2">
                  <c:v>Mar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 </c:v>
                </c:pt>
                <c:pt idx="10">
                  <c:v>Nov </c:v>
                </c:pt>
                <c:pt idx="11">
                  <c:v>Dec </c:v>
                </c:pt>
                <c:pt idx="12">
                  <c:v>Jan 2014</c:v>
                </c:pt>
                <c:pt idx="13">
                  <c:v>Feb</c:v>
                </c:pt>
                <c:pt idx="14">
                  <c:v>March</c:v>
                </c:pt>
                <c:pt idx="15">
                  <c:v>April</c:v>
                </c:pt>
                <c:pt idx="16">
                  <c:v>May</c:v>
                </c:pt>
                <c:pt idx="17">
                  <c:v>June</c:v>
                </c:pt>
                <c:pt idx="18">
                  <c:v>July</c:v>
                </c:pt>
                <c:pt idx="19">
                  <c:v>August</c:v>
                </c:pt>
              </c:strCache>
            </c:strRef>
          </c:cat>
          <c:val>
            <c:numRef>
              <c:f>'PM3'!$E$25:$E$44</c:f>
              <c:numCache>
                <c:formatCode>General</c:formatCode>
                <c:ptCount val="20"/>
                <c:pt idx="0">
                  <c:v>32</c:v>
                </c:pt>
                <c:pt idx="1">
                  <c:v>20</c:v>
                </c:pt>
                <c:pt idx="2">
                  <c:v>10</c:v>
                </c:pt>
                <c:pt idx="3">
                  <c:v>125</c:v>
                </c:pt>
                <c:pt idx="4">
                  <c:v>148</c:v>
                </c:pt>
                <c:pt idx="5">
                  <c:v>140</c:v>
                </c:pt>
                <c:pt idx="6">
                  <c:v>137</c:v>
                </c:pt>
                <c:pt idx="7">
                  <c:v>118</c:v>
                </c:pt>
                <c:pt idx="8">
                  <c:v>162</c:v>
                </c:pt>
                <c:pt idx="9">
                  <c:v>49</c:v>
                </c:pt>
                <c:pt idx="10">
                  <c:v>173</c:v>
                </c:pt>
                <c:pt idx="11">
                  <c:v>318</c:v>
                </c:pt>
                <c:pt idx="12">
                  <c:v>125</c:v>
                </c:pt>
                <c:pt idx="13">
                  <c:v>79</c:v>
                </c:pt>
                <c:pt idx="14">
                  <c:v>43</c:v>
                </c:pt>
                <c:pt idx="15">
                  <c:v>128</c:v>
                </c:pt>
                <c:pt idx="16">
                  <c:v>192</c:v>
                </c:pt>
                <c:pt idx="17">
                  <c:v>79</c:v>
                </c:pt>
                <c:pt idx="18">
                  <c:v>56</c:v>
                </c:pt>
                <c:pt idx="19">
                  <c:v>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'PM3'!$F$17</c:f>
              <c:strCache>
                <c:ptCount val="1"/>
                <c:pt idx="0">
                  <c:v>61- 90 Days 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'PM3'!$A$25:$A$44</c:f>
              <c:strCache>
                <c:ptCount val="20"/>
                <c:pt idx="0">
                  <c:v>Jan 2013</c:v>
                </c:pt>
                <c:pt idx="1">
                  <c:v>Feb</c:v>
                </c:pt>
                <c:pt idx="2">
                  <c:v>Mar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 </c:v>
                </c:pt>
                <c:pt idx="10">
                  <c:v>Nov </c:v>
                </c:pt>
                <c:pt idx="11">
                  <c:v>Dec </c:v>
                </c:pt>
                <c:pt idx="12">
                  <c:v>Jan 2014</c:v>
                </c:pt>
                <c:pt idx="13">
                  <c:v>Feb</c:v>
                </c:pt>
                <c:pt idx="14">
                  <c:v>March</c:v>
                </c:pt>
                <c:pt idx="15">
                  <c:v>April</c:v>
                </c:pt>
                <c:pt idx="16">
                  <c:v>May</c:v>
                </c:pt>
                <c:pt idx="17">
                  <c:v>June</c:v>
                </c:pt>
                <c:pt idx="18">
                  <c:v>July</c:v>
                </c:pt>
                <c:pt idx="19">
                  <c:v>August</c:v>
                </c:pt>
              </c:strCache>
            </c:strRef>
          </c:cat>
          <c:val>
            <c:numRef>
              <c:f>'PM3'!$F$25:$F$44</c:f>
              <c:numCache>
                <c:formatCode>General</c:formatCode>
                <c:ptCount val="20"/>
                <c:pt idx="0">
                  <c:v>15</c:v>
                </c:pt>
                <c:pt idx="1">
                  <c:v>9</c:v>
                </c:pt>
                <c:pt idx="2">
                  <c:v>1</c:v>
                </c:pt>
                <c:pt idx="3">
                  <c:v>2</c:v>
                </c:pt>
                <c:pt idx="4">
                  <c:v>95</c:v>
                </c:pt>
                <c:pt idx="5">
                  <c:v>97</c:v>
                </c:pt>
                <c:pt idx="6">
                  <c:v>67</c:v>
                </c:pt>
                <c:pt idx="7">
                  <c:v>130</c:v>
                </c:pt>
                <c:pt idx="8">
                  <c:v>91</c:v>
                </c:pt>
                <c:pt idx="9">
                  <c:v>0</c:v>
                </c:pt>
                <c:pt idx="10">
                  <c:v>0</c:v>
                </c:pt>
                <c:pt idx="11">
                  <c:v>225</c:v>
                </c:pt>
                <c:pt idx="12">
                  <c:v>219</c:v>
                </c:pt>
                <c:pt idx="13">
                  <c:v>119</c:v>
                </c:pt>
                <c:pt idx="14">
                  <c:v>57</c:v>
                </c:pt>
                <c:pt idx="15">
                  <c:v>32</c:v>
                </c:pt>
                <c:pt idx="16">
                  <c:v>86</c:v>
                </c:pt>
                <c:pt idx="17">
                  <c:v>49</c:v>
                </c:pt>
                <c:pt idx="18">
                  <c:v>15</c:v>
                </c:pt>
                <c:pt idx="19">
                  <c:v>26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'PM3'!$G$17</c:f>
              <c:strCache>
                <c:ptCount val="1"/>
                <c:pt idx="0">
                  <c:v>91-180 Days</c:v>
                </c:pt>
              </c:strCache>
            </c:strRef>
          </c:tx>
          <c:dLbls>
            <c:dLbl>
              <c:idx val="4"/>
              <c:layout>
                <c:manualLayout>
                  <c:x val="-1.3528516014338883E-2"/>
                  <c:y val="2.394850957299241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ln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'PM3'!$A$25:$A$44</c:f>
              <c:strCache>
                <c:ptCount val="20"/>
                <c:pt idx="0">
                  <c:v>Jan 2013</c:v>
                </c:pt>
                <c:pt idx="1">
                  <c:v>Feb</c:v>
                </c:pt>
                <c:pt idx="2">
                  <c:v>Mar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 </c:v>
                </c:pt>
                <c:pt idx="10">
                  <c:v>Nov </c:v>
                </c:pt>
                <c:pt idx="11">
                  <c:v>Dec </c:v>
                </c:pt>
                <c:pt idx="12">
                  <c:v>Jan 2014</c:v>
                </c:pt>
                <c:pt idx="13">
                  <c:v>Feb</c:v>
                </c:pt>
                <c:pt idx="14">
                  <c:v>March</c:v>
                </c:pt>
                <c:pt idx="15">
                  <c:v>April</c:v>
                </c:pt>
                <c:pt idx="16">
                  <c:v>May</c:v>
                </c:pt>
                <c:pt idx="17">
                  <c:v>June</c:v>
                </c:pt>
                <c:pt idx="18">
                  <c:v>July</c:v>
                </c:pt>
                <c:pt idx="19">
                  <c:v>August</c:v>
                </c:pt>
              </c:strCache>
            </c:strRef>
          </c:cat>
          <c:val>
            <c:numRef>
              <c:f>'PM3'!$G$25:$G$44</c:f>
              <c:numCache>
                <c:formatCode>General</c:formatCode>
                <c:ptCount val="20"/>
                <c:pt idx="0">
                  <c:v>39</c:v>
                </c:pt>
                <c:pt idx="1">
                  <c:v>7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67</c:v>
                </c:pt>
                <c:pt idx="6">
                  <c:v>0</c:v>
                </c:pt>
                <c:pt idx="7">
                  <c:v>64</c:v>
                </c:pt>
                <c:pt idx="8">
                  <c:v>38</c:v>
                </c:pt>
                <c:pt idx="9">
                  <c:v>0</c:v>
                </c:pt>
                <c:pt idx="10">
                  <c:v>0</c:v>
                </c:pt>
                <c:pt idx="11">
                  <c:v>52</c:v>
                </c:pt>
                <c:pt idx="12">
                  <c:v>148</c:v>
                </c:pt>
                <c:pt idx="13">
                  <c:v>244</c:v>
                </c:pt>
                <c:pt idx="14">
                  <c:v>181</c:v>
                </c:pt>
                <c:pt idx="15">
                  <c:v>155</c:v>
                </c:pt>
                <c:pt idx="16">
                  <c:v>121</c:v>
                </c:pt>
                <c:pt idx="17">
                  <c:v>11</c:v>
                </c:pt>
                <c:pt idx="18">
                  <c:v>64</c:v>
                </c:pt>
                <c:pt idx="19">
                  <c:v>52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'PM3'!$H$17</c:f>
              <c:strCache>
                <c:ptCount val="1"/>
                <c:pt idx="0">
                  <c:v>181-365 Days</c:v>
                </c:pt>
              </c:strCache>
            </c:strRef>
          </c:tx>
          <c:cat>
            <c:strRef>
              <c:f>'PM3'!$A$25:$A$44</c:f>
              <c:strCache>
                <c:ptCount val="20"/>
                <c:pt idx="0">
                  <c:v>Jan 2013</c:v>
                </c:pt>
                <c:pt idx="1">
                  <c:v>Feb</c:v>
                </c:pt>
                <c:pt idx="2">
                  <c:v>Mar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 </c:v>
                </c:pt>
                <c:pt idx="10">
                  <c:v>Nov </c:v>
                </c:pt>
                <c:pt idx="11">
                  <c:v>Dec </c:v>
                </c:pt>
                <c:pt idx="12">
                  <c:v>Jan 2014</c:v>
                </c:pt>
                <c:pt idx="13">
                  <c:v>Feb</c:v>
                </c:pt>
                <c:pt idx="14">
                  <c:v>March</c:v>
                </c:pt>
                <c:pt idx="15">
                  <c:v>April</c:v>
                </c:pt>
                <c:pt idx="16">
                  <c:v>May</c:v>
                </c:pt>
                <c:pt idx="17">
                  <c:v>June</c:v>
                </c:pt>
                <c:pt idx="18">
                  <c:v>July</c:v>
                </c:pt>
                <c:pt idx="19">
                  <c:v>August</c:v>
                </c:pt>
              </c:strCache>
            </c:strRef>
          </c:cat>
          <c:val>
            <c:numRef>
              <c:f>'PM3'!$H$25:$H$44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60</c:v>
                </c:pt>
                <c:pt idx="16">
                  <c:v>142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'PM3'!$I$17</c:f>
              <c:strCache>
                <c:ptCount val="1"/>
                <c:pt idx="0">
                  <c:v>&gt;365 Days</c:v>
                </c:pt>
              </c:strCache>
            </c:strRef>
          </c:tx>
          <c:dLbls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'PM3'!$A$25:$A$44</c:f>
              <c:strCache>
                <c:ptCount val="20"/>
                <c:pt idx="0">
                  <c:v>Jan 2013</c:v>
                </c:pt>
                <c:pt idx="1">
                  <c:v>Feb</c:v>
                </c:pt>
                <c:pt idx="2">
                  <c:v>Mar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 </c:v>
                </c:pt>
                <c:pt idx="10">
                  <c:v>Nov </c:v>
                </c:pt>
                <c:pt idx="11">
                  <c:v>Dec </c:v>
                </c:pt>
                <c:pt idx="12">
                  <c:v>Jan 2014</c:v>
                </c:pt>
                <c:pt idx="13">
                  <c:v>Feb</c:v>
                </c:pt>
                <c:pt idx="14">
                  <c:v>March</c:v>
                </c:pt>
                <c:pt idx="15">
                  <c:v>April</c:v>
                </c:pt>
                <c:pt idx="16">
                  <c:v>May</c:v>
                </c:pt>
                <c:pt idx="17">
                  <c:v>June</c:v>
                </c:pt>
                <c:pt idx="18">
                  <c:v>July</c:v>
                </c:pt>
                <c:pt idx="19">
                  <c:v>August</c:v>
                </c:pt>
              </c:strCache>
            </c:strRef>
          </c:cat>
          <c:val>
            <c:numRef>
              <c:f>'PM3'!$I$25:$I$44</c:f>
              <c:numCache>
                <c:formatCode>General</c:formatCode>
                <c:ptCount val="20"/>
                <c:pt idx="0">
                  <c:v>8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954624"/>
        <c:axId val="156956160"/>
      </c:lineChart>
      <c:catAx>
        <c:axId val="15695462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56956160"/>
        <c:crosses val="autoZero"/>
        <c:auto val="1"/>
        <c:lblAlgn val="ctr"/>
        <c:lblOffset val="100"/>
        <c:noMultiLvlLbl val="0"/>
      </c:catAx>
      <c:valAx>
        <c:axId val="156956160"/>
        <c:scaling>
          <c:orientation val="minMax"/>
          <c:max val="1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work orders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6954624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25" r="0.25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Curb Appeal Project Phase II - Percent complete per week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072224906359029E-2"/>
          <c:y val="8.7604451702409186E-2"/>
          <c:w val="0.79905815026898308"/>
          <c:h val="0.78232136108226791"/>
        </c:manualLayout>
      </c:layout>
      <c:lineChart>
        <c:grouping val="standard"/>
        <c:varyColors val="0"/>
        <c:ser>
          <c:idx val="0"/>
          <c:order val="0"/>
          <c:tx>
            <c:strRef>
              <c:f>'Curb Appeal I &amp; II'!$F$2</c:f>
              <c:strCache>
                <c:ptCount val="1"/>
                <c:pt idx="0">
                  <c:v>Curb Appeal Project % complete per week</c:v>
                </c:pt>
              </c:strCache>
            </c:strRef>
          </c:tx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'Curb Appeal I &amp; II'!$E$3:$E$49</c:f>
              <c:numCache>
                <c:formatCode>m/d/yyyy</c:formatCode>
                <c:ptCount val="47"/>
                <c:pt idx="0">
                  <c:v>41133</c:v>
                </c:pt>
                <c:pt idx="1">
                  <c:v>41140</c:v>
                </c:pt>
                <c:pt idx="2">
                  <c:v>41147</c:v>
                </c:pt>
                <c:pt idx="3">
                  <c:v>41154</c:v>
                </c:pt>
                <c:pt idx="4">
                  <c:v>41161</c:v>
                </c:pt>
                <c:pt idx="5">
                  <c:v>41168</c:v>
                </c:pt>
                <c:pt idx="6">
                  <c:v>41175</c:v>
                </c:pt>
                <c:pt idx="7">
                  <c:v>41182</c:v>
                </c:pt>
                <c:pt idx="8">
                  <c:v>41189</c:v>
                </c:pt>
                <c:pt idx="9">
                  <c:v>41196</c:v>
                </c:pt>
                <c:pt idx="10">
                  <c:v>41203</c:v>
                </c:pt>
                <c:pt idx="11">
                  <c:v>41210</c:v>
                </c:pt>
                <c:pt idx="12">
                  <c:v>41217</c:v>
                </c:pt>
                <c:pt idx="13">
                  <c:v>41224</c:v>
                </c:pt>
                <c:pt idx="14">
                  <c:v>41231</c:v>
                </c:pt>
                <c:pt idx="15">
                  <c:v>41238</c:v>
                </c:pt>
                <c:pt idx="16">
                  <c:v>41245</c:v>
                </c:pt>
                <c:pt idx="17">
                  <c:v>41252</c:v>
                </c:pt>
                <c:pt idx="18">
                  <c:v>41259</c:v>
                </c:pt>
                <c:pt idx="19">
                  <c:v>41266</c:v>
                </c:pt>
                <c:pt idx="20">
                  <c:v>41273</c:v>
                </c:pt>
                <c:pt idx="21">
                  <c:v>41280</c:v>
                </c:pt>
                <c:pt idx="22">
                  <c:v>41287</c:v>
                </c:pt>
                <c:pt idx="23">
                  <c:v>41294</c:v>
                </c:pt>
                <c:pt idx="24">
                  <c:v>41301</c:v>
                </c:pt>
                <c:pt idx="25">
                  <c:v>41308</c:v>
                </c:pt>
                <c:pt idx="26">
                  <c:v>41315</c:v>
                </c:pt>
                <c:pt idx="27">
                  <c:v>41322</c:v>
                </c:pt>
                <c:pt idx="28">
                  <c:v>41329</c:v>
                </c:pt>
                <c:pt idx="29">
                  <c:v>41336</c:v>
                </c:pt>
                <c:pt idx="30">
                  <c:v>41343</c:v>
                </c:pt>
                <c:pt idx="31">
                  <c:v>41350</c:v>
                </c:pt>
                <c:pt idx="32">
                  <c:v>41357</c:v>
                </c:pt>
                <c:pt idx="33">
                  <c:v>41364</c:v>
                </c:pt>
                <c:pt idx="34">
                  <c:v>41371</c:v>
                </c:pt>
                <c:pt idx="35">
                  <c:v>41378</c:v>
                </c:pt>
                <c:pt idx="36">
                  <c:v>41385</c:v>
                </c:pt>
                <c:pt idx="37">
                  <c:v>41392</c:v>
                </c:pt>
                <c:pt idx="38">
                  <c:v>41399</c:v>
                </c:pt>
                <c:pt idx="39">
                  <c:v>41406</c:v>
                </c:pt>
                <c:pt idx="40">
                  <c:v>41413</c:v>
                </c:pt>
                <c:pt idx="41">
                  <c:v>41420</c:v>
                </c:pt>
                <c:pt idx="42">
                  <c:v>41427</c:v>
                </c:pt>
                <c:pt idx="43">
                  <c:v>41434</c:v>
                </c:pt>
                <c:pt idx="44">
                  <c:v>41441</c:v>
                </c:pt>
                <c:pt idx="45">
                  <c:v>41448</c:v>
                </c:pt>
                <c:pt idx="46">
                  <c:v>41455</c:v>
                </c:pt>
              </c:numCache>
            </c:numRef>
          </c:cat>
          <c:val>
            <c:numRef>
              <c:f>'Curb Appeal I &amp; II'!$F$3:$F$49</c:f>
              <c:numCache>
                <c:formatCode>General</c:formatCode>
                <c:ptCount val="47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14</c:v>
                </c:pt>
                <c:pt idx="4">
                  <c:v>16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30</c:v>
                </c:pt>
                <c:pt idx="9">
                  <c:v>33</c:v>
                </c:pt>
                <c:pt idx="10">
                  <c:v>37</c:v>
                </c:pt>
                <c:pt idx="11">
                  <c:v>40</c:v>
                </c:pt>
                <c:pt idx="12">
                  <c:v>45</c:v>
                </c:pt>
                <c:pt idx="13">
                  <c:v>46</c:v>
                </c:pt>
                <c:pt idx="14">
                  <c:v>52</c:v>
                </c:pt>
                <c:pt idx="15">
                  <c:v>54</c:v>
                </c:pt>
                <c:pt idx="16">
                  <c:v>55</c:v>
                </c:pt>
                <c:pt idx="17">
                  <c:v>57</c:v>
                </c:pt>
                <c:pt idx="18">
                  <c:v>60</c:v>
                </c:pt>
                <c:pt idx="19">
                  <c:v>63</c:v>
                </c:pt>
                <c:pt idx="20">
                  <c:v>63</c:v>
                </c:pt>
                <c:pt idx="21">
                  <c:v>66</c:v>
                </c:pt>
                <c:pt idx="22">
                  <c:v>68</c:v>
                </c:pt>
                <c:pt idx="23">
                  <c:v>69</c:v>
                </c:pt>
                <c:pt idx="24">
                  <c:v>71</c:v>
                </c:pt>
                <c:pt idx="25">
                  <c:v>72</c:v>
                </c:pt>
                <c:pt idx="26">
                  <c:v>73</c:v>
                </c:pt>
                <c:pt idx="27">
                  <c:v>74</c:v>
                </c:pt>
                <c:pt idx="28">
                  <c:v>74</c:v>
                </c:pt>
                <c:pt idx="29">
                  <c:v>74</c:v>
                </c:pt>
                <c:pt idx="30">
                  <c:v>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'Curb Appeal I &amp; II'!$G$2</c:f>
              <c:strCache>
                <c:ptCount val="1"/>
                <c:pt idx="0">
                  <c:v>Goal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38100">
                <a:solidFill>
                  <a:schemeClr val="accent2"/>
                </a:solidFill>
              </a:ln>
            </c:spPr>
            <c:trendlineType val="movingAvg"/>
            <c:period val="2"/>
            <c:dispRSqr val="0"/>
            <c:dispEq val="0"/>
          </c:trendline>
          <c:cat>
            <c:numRef>
              <c:f>'Curb Appeal I &amp; II'!$E$3:$E$49</c:f>
              <c:numCache>
                <c:formatCode>m/d/yyyy</c:formatCode>
                <c:ptCount val="47"/>
                <c:pt idx="0">
                  <c:v>41133</c:v>
                </c:pt>
                <c:pt idx="1">
                  <c:v>41140</c:v>
                </c:pt>
                <c:pt idx="2">
                  <c:v>41147</c:v>
                </c:pt>
                <c:pt idx="3">
                  <c:v>41154</c:v>
                </c:pt>
                <c:pt idx="4">
                  <c:v>41161</c:v>
                </c:pt>
                <c:pt idx="5">
                  <c:v>41168</c:v>
                </c:pt>
                <c:pt idx="6">
                  <c:v>41175</c:v>
                </c:pt>
                <c:pt idx="7">
                  <c:v>41182</c:v>
                </c:pt>
                <c:pt idx="8">
                  <c:v>41189</c:v>
                </c:pt>
                <c:pt idx="9">
                  <c:v>41196</c:v>
                </c:pt>
                <c:pt idx="10">
                  <c:v>41203</c:v>
                </c:pt>
                <c:pt idx="11">
                  <c:v>41210</c:v>
                </c:pt>
                <c:pt idx="12">
                  <c:v>41217</c:v>
                </c:pt>
                <c:pt idx="13">
                  <c:v>41224</c:v>
                </c:pt>
                <c:pt idx="14">
                  <c:v>41231</c:v>
                </c:pt>
                <c:pt idx="15">
                  <c:v>41238</c:v>
                </c:pt>
                <c:pt idx="16">
                  <c:v>41245</c:v>
                </c:pt>
                <c:pt idx="17">
                  <c:v>41252</c:v>
                </c:pt>
                <c:pt idx="18">
                  <c:v>41259</c:v>
                </c:pt>
                <c:pt idx="19">
                  <c:v>41266</c:v>
                </c:pt>
                <c:pt idx="20">
                  <c:v>41273</c:v>
                </c:pt>
                <c:pt idx="21">
                  <c:v>41280</c:v>
                </c:pt>
                <c:pt idx="22">
                  <c:v>41287</c:v>
                </c:pt>
                <c:pt idx="23">
                  <c:v>41294</c:v>
                </c:pt>
                <c:pt idx="24">
                  <c:v>41301</c:v>
                </c:pt>
                <c:pt idx="25">
                  <c:v>41308</c:v>
                </c:pt>
                <c:pt idx="26">
                  <c:v>41315</c:v>
                </c:pt>
                <c:pt idx="27">
                  <c:v>41322</c:v>
                </c:pt>
                <c:pt idx="28">
                  <c:v>41329</c:v>
                </c:pt>
                <c:pt idx="29">
                  <c:v>41336</c:v>
                </c:pt>
                <c:pt idx="30">
                  <c:v>41343</c:v>
                </c:pt>
                <c:pt idx="31">
                  <c:v>41350</c:v>
                </c:pt>
                <c:pt idx="32">
                  <c:v>41357</c:v>
                </c:pt>
                <c:pt idx="33">
                  <c:v>41364</c:v>
                </c:pt>
                <c:pt idx="34">
                  <c:v>41371</c:v>
                </c:pt>
                <c:pt idx="35">
                  <c:v>41378</c:v>
                </c:pt>
                <c:pt idx="36">
                  <c:v>41385</c:v>
                </c:pt>
                <c:pt idx="37">
                  <c:v>41392</c:v>
                </c:pt>
                <c:pt idx="38">
                  <c:v>41399</c:v>
                </c:pt>
                <c:pt idx="39">
                  <c:v>41406</c:v>
                </c:pt>
                <c:pt idx="40">
                  <c:v>41413</c:v>
                </c:pt>
                <c:pt idx="41">
                  <c:v>41420</c:v>
                </c:pt>
                <c:pt idx="42">
                  <c:v>41427</c:v>
                </c:pt>
                <c:pt idx="43">
                  <c:v>41434</c:v>
                </c:pt>
                <c:pt idx="44">
                  <c:v>41441</c:v>
                </c:pt>
                <c:pt idx="45">
                  <c:v>41448</c:v>
                </c:pt>
                <c:pt idx="46">
                  <c:v>41455</c:v>
                </c:pt>
              </c:numCache>
            </c:numRef>
          </c:cat>
          <c:val>
            <c:numRef>
              <c:f>'Curb Appeal I &amp; II'!$G$3:$G$49</c:f>
              <c:numCache>
                <c:formatCode>General</c:formatCode>
                <c:ptCount val="47"/>
                <c:pt idx="0">
                  <c:v>0</c:v>
                </c:pt>
                <c:pt idx="15">
                  <c:v>50</c:v>
                </c:pt>
                <c:pt idx="28">
                  <c:v>65</c:v>
                </c:pt>
                <c:pt idx="41">
                  <c:v>95</c:v>
                </c:pt>
                <c:pt idx="46">
                  <c:v>100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2534144"/>
        <c:axId val="142535680"/>
      </c:lineChart>
      <c:catAx>
        <c:axId val="142534144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crossAx val="142535680"/>
        <c:crosses val="autoZero"/>
        <c:auto val="0"/>
        <c:lblAlgn val="ctr"/>
        <c:lblOffset val="100"/>
        <c:noMultiLvlLbl val="0"/>
      </c:catAx>
      <c:valAx>
        <c:axId val="142535680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Complete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2534144"/>
        <c:crosses val="autoZero"/>
        <c:crossBetween val="between"/>
      </c:valAx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83232699733509719"/>
          <c:y val="0.26031582579736984"/>
          <c:w val="0.14944383824099763"/>
          <c:h val="0.2111701016367197"/>
        </c:manualLayout>
      </c:layout>
      <c:overlay val="0"/>
    </c:legend>
    <c:plotVisOnly val="1"/>
    <c:dispBlanksAs val="gap"/>
    <c:showDLblsOverMax val="0"/>
  </c:chart>
  <c:printSettings>
    <c:headerFooter/>
    <c:pageMargins b="0.75" l="0.25" r="0.25" t="0.75" header="0.3" footer="0.3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PM Analysis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9165965671479585E-2"/>
          <c:y val="0.15130650880694479"/>
          <c:w val="0.74408212244888883"/>
          <c:h val="0.71601311020246805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'PM3'!$E$2</c:f>
              <c:strCache>
                <c:ptCount val="1"/>
                <c:pt idx="0">
                  <c:v>Work Not Done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'PM3'!$A$3:$A$5</c:f>
              <c:numCache>
                <c:formatCode>[$-409]mmm\-yy;@</c:formatCode>
                <c:ptCount val="3"/>
                <c:pt idx="0">
                  <c:v>41804</c:v>
                </c:pt>
                <c:pt idx="1">
                  <c:v>41834</c:v>
                </c:pt>
                <c:pt idx="2">
                  <c:v>41865</c:v>
                </c:pt>
              </c:numCache>
            </c:numRef>
          </c:cat>
          <c:val>
            <c:numRef>
              <c:f>'PM3'!$E$3:$E$5</c:f>
              <c:numCache>
                <c:formatCode>General</c:formatCode>
                <c:ptCount val="3"/>
                <c:pt idx="0">
                  <c:v>21</c:v>
                </c:pt>
                <c:pt idx="1">
                  <c:v>18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65792"/>
        <c:axId val="165741696"/>
      </c:barChart>
      <c:lineChart>
        <c:grouping val="standard"/>
        <c:varyColors val="0"/>
        <c:ser>
          <c:idx val="0"/>
          <c:order val="0"/>
          <c:tx>
            <c:strRef>
              <c:f>'PM3'!$B$2</c:f>
              <c:strCache>
                <c:ptCount val="1"/>
                <c:pt idx="0">
                  <c:v>80%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'PM3'!$A$3:$A$5</c:f>
              <c:numCache>
                <c:formatCode>[$-409]mmm\-yy;@</c:formatCode>
                <c:ptCount val="3"/>
                <c:pt idx="0">
                  <c:v>41804</c:v>
                </c:pt>
                <c:pt idx="1">
                  <c:v>41834</c:v>
                </c:pt>
                <c:pt idx="2">
                  <c:v>41865</c:v>
                </c:pt>
              </c:numCache>
            </c:numRef>
          </c:cat>
          <c:val>
            <c:numRef>
              <c:f>'PM3'!$B$3:$B$5</c:f>
              <c:numCache>
                <c:formatCode>0</c:formatCode>
                <c:ptCount val="3"/>
                <c:pt idx="0">
                  <c:v>76</c:v>
                </c:pt>
                <c:pt idx="1">
                  <c:v>71</c:v>
                </c:pt>
                <c:pt idx="2">
                  <c:v>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'PM3'!$C$2</c:f>
              <c:strCache>
                <c:ptCount val="1"/>
                <c:pt idx="0">
                  <c:v>95%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'PM3'!$A$3:$A$5</c:f>
              <c:numCache>
                <c:formatCode>[$-409]mmm\-yy;@</c:formatCode>
                <c:ptCount val="3"/>
                <c:pt idx="0">
                  <c:v>41804</c:v>
                </c:pt>
                <c:pt idx="1">
                  <c:v>41834</c:v>
                </c:pt>
                <c:pt idx="2">
                  <c:v>41865</c:v>
                </c:pt>
              </c:numCache>
            </c:numRef>
          </c:cat>
          <c:val>
            <c:numRef>
              <c:f>'PM3'!$C$3:$C$5</c:f>
              <c:numCache>
                <c:formatCode>0</c:formatCode>
                <c:ptCount val="3"/>
                <c:pt idx="0">
                  <c:v>81</c:v>
                </c:pt>
                <c:pt idx="1">
                  <c:v>91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'PM3'!$D$2</c:f>
              <c:strCache>
                <c:ptCount val="1"/>
                <c:pt idx="0">
                  <c:v>100%</c:v>
                </c:pt>
              </c:strCache>
            </c:strRef>
          </c:tx>
          <c:cat>
            <c:numRef>
              <c:f>'PM3'!$A$3:$A$5</c:f>
              <c:numCache>
                <c:formatCode>[$-409]mmm\-yy;@</c:formatCode>
                <c:ptCount val="3"/>
                <c:pt idx="0">
                  <c:v>41804</c:v>
                </c:pt>
                <c:pt idx="1">
                  <c:v>41834</c:v>
                </c:pt>
                <c:pt idx="2">
                  <c:v>41865</c:v>
                </c:pt>
              </c:numCache>
            </c:numRef>
          </c:cat>
          <c:val>
            <c:numRef>
              <c:f>'PM3'!$D$3:$D$5</c:f>
              <c:numCache>
                <c:formatCode>0</c:formatCode>
                <c:ptCount val="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65792"/>
        <c:axId val="165741696"/>
      </c:lineChart>
      <c:dateAx>
        <c:axId val="16566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overlay val="0"/>
        </c:title>
        <c:numFmt formatCode="[$-409]mmm\-yy;@" sourceLinked="1"/>
        <c:majorTickMark val="out"/>
        <c:minorTickMark val="none"/>
        <c:tickLblPos val="nextTo"/>
        <c:crossAx val="165741696"/>
        <c:crosses val="autoZero"/>
        <c:auto val="1"/>
        <c:lblOffset val="100"/>
        <c:baseTimeUnit val="months"/>
      </c:dateAx>
      <c:valAx>
        <c:axId val="1657416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65665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- Engineering Preventive Maintenance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1914425439271252E-2"/>
          <c:y val="0.18975142093252328"/>
          <c:w val="0.87729812636653104"/>
          <c:h val="0.59105335609272613"/>
        </c:manualLayout>
      </c:layout>
      <c:lineChart>
        <c:grouping val="standard"/>
        <c:varyColors val="0"/>
        <c:ser>
          <c:idx val="0"/>
          <c:order val="0"/>
          <c:tx>
            <c:strRef>
              <c:f>'PM2'!$D$3</c:f>
              <c:strCache>
                <c:ptCount val="1"/>
                <c:pt idx="0">
                  <c:v>Total #</c:v>
                </c:pt>
              </c:strCache>
            </c:strRef>
          </c:tx>
          <c:dLbls>
            <c:dLbl>
              <c:idx val="0"/>
              <c:layout>
                <c:manualLayout>
                  <c:x val="-4.7197640117994126E-3"/>
                  <c:y val="-9.6618357487922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'PM2'!$A$16:$A$33</c:f>
              <c:numCache>
                <c:formatCode>mmm\-yy</c:formatCode>
                <c:ptCount val="18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</c:numCache>
            </c:numRef>
          </c:cat>
          <c:val>
            <c:numRef>
              <c:f>'PM2'!$D$16:$D$33</c:f>
              <c:numCache>
                <c:formatCode>#,##0_);[Red]\(#,##0\)</c:formatCode>
                <c:ptCount val="18"/>
                <c:pt idx="0">
                  <c:v>209</c:v>
                </c:pt>
                <c:pt idx="1">
                  <c:v>149</c:v>
                </c:pt>
                <c:pt idx="2">
                  <c:v>243</c:v>
                </c:pt>
                <c:pt idx="3">
                  <c:v>395</c:v>
                </c:pt>
                <c:pt idx="4">
                  <c:v>512</c:v>
                </c:pt>
                <c:pt idx="5">
                  <c:v>588</c:v>
                </c:pt>
                <c:pt idx="6">
                  <c:v>491</c:v>
                </c:pt>
                <c:pt idx="7" formatCode="General">
                  <c:v>591</c:v>
                </c:pt>
                <c:pt idx="8">
                  <c:v>563</c:v>
                </c:pt>
                <c:pt idx="9">
                  <c:v>410</c:v>
                </c:pt>
                <c:pt idx="10">
                  <c:v>304</c:v>
                </c:pt>
                <c:pt idx="11">
                  <c:v>834</c:v>
                </c:pt>
                <c:pt idx="12">
                  <c:v>734</c:v>
                </c:pt>
                <c:pt idx="13">
                  <c:v>519</c:v>
                </c:pt>
                <c:pt idx="14">
                  <c:v>474</c:v>
                </c:pt>
                <c:pt idx="15">
                  <c:v>648</c:v>
                </c:pt>
                <c:pt idx="16">
                  <c:v>730</c:v>
                </c:pt>
                <c:pt idx="17">
                  <c:v>245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'PM2'!$F$3</c:f>
              <c:strCache>
                <c:ptCount val="1"/>
                <c:pt idx="0">
                  <c:v>  &gt; 30 Days Old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'PM2'!$A$16:$A$33</c:f>
              <c:numCache>
                <c:formatCode>mmm\-yy</c:formatCode>
                <c:ptCount val="18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</c:numCache>
            </c:numRef>
          </c:cat>
          <c:val>
            <c:numRef>
              <c:f>'PM2'!$F$16:$F$33</c:f>
              <c:numCache>
                <c:formatCode>#,##0_);[Red]\(#,##0\)</c:formatCode>
                <c:ptCount val="18"/>
                <c:pt idx="0">
                  <c:v>94</c:v>
                </c:pt>
                <c:pt idx="1">
                  <c:v>37</c:v>
                </c:pt>
                <c:pt idx="2">
                  <c:v>12</c:v>
                </c:pt>
                <c:pt idx="3">
                  <c:v>127</c:v>
                </c:pt>
                <c:pt idx="4">
                  <c:v>244</c:v>
                </c:pt>
                <c:pt idx="5">
                  <c:v>304</c:v>
                </c:pt>
                <c:pt idx="6">
                  <c:v>204</c:v>
                </c:pt>
                <c:pt idx="7" formatCode="General">
                  <c:v>312</c:v>
                </c:pt>
                <c:pt idx="8">
                  <c:v>291</c:v>
                </c:pt>
                <c:pt idx="9">
                  <c:v>49</c:v>
                </c:pt>
                <c:pt idx="10">
                  <c:v>173</c:v>
                </c:pt>
                <c:pt idx="11">
                  <c:v>595</c:v>
                </c:pt>
                <c:pt idx="12">
                  <c:v>493</c:v>
                </c:pt>
                <c:pt idx="13">
                  <c:v>442</c:v>
                </c:pt>
                <c:pt idx="14">
                  <c:v>287</c:v>
                </c:pt>
                <c:pt idx="15">
                  <c:v>389</c:v>
                </c:pt>
                <c:pt idx="16">
                  <c:v>541</c:v>
                </c:pt>
                <c:pt idx="17">
                  <c:v>139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785600"/>
        <c:axId val="165787136"/>
      </c:lineChart>
      <c:dateAx>
        <c:axId val="16578560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65787136"/>
        <c:crosses val="autoZero"/>
        <c:auto val="1"/>
        <c:lblOffset val="100"/>
        <c:baseTimeUnit val="months"/>
      </c:dateAx>
      <c:valAx>
        <c:axId val="16578713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65785600"/>
        <c:crosses val="autoZero"/>
        <c:crossBetween val="between"/>
      </c:valAx>
      <c:spPr>
        <a:noFill/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25" r="0.25" t="0.75" header="0.3" footer="0.3"/>
    <c:pageSetup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</a:t>
            </a:r>
            <a:r>
              <a:rPr lang="en-US" baseline="0"/>
              <a:t> on Time</a:t>
            </a:r>
          </a:p>
          <a:p>
            <a:pPr>
              <a:defRPr/>
            </a:pPr>
            <a:r>
              <a:rPr lang="en-US" baseline="0"/>
              <a:t>PREVENTIVE MAINTENANCE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2189267888055181E-2"/>
          <c:y val="0.2011144570626516"/>
          <c:w val="0.88527517345267215"/>
          <c:h val="0.63373149324076428"/>
        </c:manualLayout>
      </c:layout>
      <c:lineChart>
        <c:grouping val="standard"/>
        <c:varyColors val="0"/>
        <c:ser>
          <c:idx val="0"/>
          <c:order val="0"/>
          <c:tx>
            <c:strRef>
              <c:f>'PM2'!$B$35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'PM2'!$A$51:$A$68</c:f>
              <c:numCache>
                <c:formatCode>mmm\-yy</c:formatCode>
                <c:ptCount val="18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</c:numCache>
            </c:numRef>
          </c:cat>
          <c:val>
            <c:numRef>
              <c:f>'PM2'!$B$51:$B$68</c:f>
              <c:numCache>
                <c:formatCode>0%</c:formatCode>
                <c:ptCount val="18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'PM2'!$F$35</c:f>
              <c:strCache>
                <c:ptCount val="1"/>
                <c:pt idx="0">
                  <c:v>Actual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'PM2'!$A$51:$A$68</c:f>
              <c:numCache>
                <c:formatCode>mmm\-yy</c:formatCode>
                <c:ptCount val="18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</c:numCache>
            </c:numRef>
          </c:cat>
          <c:val>
            <c:numRef>
              <c:f>'PM2'!$F$51:$F$68</c:f>
              <c:numCache>
                <c:formatCode>0%</c:formatCode>
                <c:ptCount val="18"/>
                <c:pt idx="0">
                  <c:v>0.74242424242424243</c:v>
                </c:pt>
                <c:pt idx="1">
                  <c:v>0.62910798122065725</c:v>
                </c:pt>
                <c:pt idx="2">
                  <c:v>0.72123893805309736</c:v>
                </c:pt>
                <c:pt idx="3">
                  <c:v>0.8675889328063241</c:v>
                </c:pt>
                <c:pt idx="4">
                  <c:v>0.86407766990291257</c:v>
                </c:pt>
                <c:pt idx="5">
                  <c:v>0.66436781609195406</c:v>
                </c:pt>
                <c:pt idx="6">
                  <c:v>0.83855421686746989</c:v>
                </c:pt>
                <c:pt idx="7">
                  <c:v>0.85744680851063826</c:v>
                </c:pt>
                <c:pt idx="8">
                  <c:v>0.73291925465838514</c:v>
                </c:pt>
                <c:pt idx="9">
                  <c:v>0.77158774373259054</c:v>
                </c:pt>
                <c:pt idx="10">
                  <c:v>0.64401294498381878</c:v>
                </c:pt>
                <c:pt idx="11">
                  <c:v>0.49603174603174605</c:v>
                </c:pt>
                <c:pt idx="12">
                  <c:v>0.29139072847682118</c:v>
                </c:pt>
                <c:pt idx="13">
                  <c:v>0.41696113074204949</c:v>
                </c:pt>
                <c:pt idx="14">
                  <c:v>0.47357293868921774</c:v>
                </c:pt>
                <c:pt idx="15">
                  <c:v>0.49159663865546216</c:v>
                </c:pt>
                <c:pt idx="16">
                  <c:v>0.64861111111111114</c:v>
                </c:pt>
                <c:pt idx="17">
                  <c:v>0.76199261992619927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878400"/>
        <c:axId val="165892480"/>
      </c:lineChart>
      <c:dateAx>
        <c:axId val="16587840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65892480"/>
        <c:crosses val="autoZero"/>
        <c:auto val="1"/>
        <c:lblOffset val="100"/>
        <c:baseTimeUnit val="months"/>
      </c:dateAx>
      <c:valAx>
        <c:axId val="16589248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658784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Engineering PM Backlog - Age Distribution 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31075365296953339"/>
          <c:y val="5.47429602492830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970990634350192"/>
          <c:y val="7.7502050010804846E-2"/>
          <c:w val="0.86029009365649811"/>
          <c:h val="0.57792969645288106"/>
        </c:manualLayout>
      </c:layout>
      <c:lineChart>
        <c:grouping val="standard"/>
        <c:varyColors val="0"/>
        <c:ser>
          <c:idx val="0"/>
          <c:order val="0"/>
          <c:tx>
            <c:strRef>
              <c:f>'PM2'!$B$71</c:f>
              <c:strCache>
                <c:ptCount val="1"/>
                <c:pt idx="0">
                  <c:v>Total #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'PM2'!$A$79:$A$96</c:f>
              <c:strCache>
                <c:ptCount val="18"/>
                <c:pt idx="0">
                  <c:v>Jan 2013</c:v>
                </c:pt>
                <c:pt idx="1">
                  <c:v>Feb</c:v>
                </c:pt>
                <c:pt idx="2">
                  <c:v>Mar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 </c:v>
                </c:pt>
                <c:pt idx="10">
                  <c:v>Nov </c:v>
                </c:pt>
                <c:pt idx="11">
                  <c:v>Dec </c:v>
                </c:pt>
                <c:pt idx="12">
                  <c:v>Jan 2014</c:v>
                </c:pt>
                <c:pt idx="13">
                  <c:v>Feb</c:v>
                </c:pt>
                <c:pt idx="14">
                  <c:v>March</c:v>
                </c:pt>
                <c:pt idx="15">
                  <c:v>April</c:v>
                </c:pt>
                <c:pt idx="16">
                  <c:v>May</c:v>
                </c:pt>
                <c:pt idx="17">
                  <c:v>June</c:v>
                </c:pt>
              </c:strCache>
            </c:strRef>
          </c:cat>
          <c:val>
            <c:numRef>
              <c:f>'PM2'!$B$79:$B$96</c:f>
              <c:numCache>
                <c:formatCode>General</c:formatCode>
                <c:ptCount val="18"/>
                <c:pt idx="0">
                  <c:v>209</c:v>
                </c:pt>
                <c:pt idx="1">
                  <c:v>149</c:v>
                </c:pt>
                <c:pt idx="2">
                  <c:v>243</c:v>
                </c:pt>
                <c:pt idx="3">
                  <c:v>395</c:v>
                </c:pt>
                <c:pt idx="4">
                  <c:v>512</c:v>
                </c:pt>
                <c:pt idx="5">
                  <c:v>588</c:v>
                </c:pt>
                <c:pt idx="6">
                  <c:v>491</c:v>
                </c:pt>
                <c:pt idx="7">
                  <c:v>591</c:v>
                </c:pt>
                <c:pt idx="8">
                  <c:v>563</c:v>
                </c:pt>
                <c:pt idx="9">
                  <c:v>410</c:v>
                </c:pt>
                <c:pt idx="10">
                  <c:v>304</c:v>
                </c:pt>
                <c:pt idx="11">
                  <c:v>834</c:v>
                </c:pt>
                <c:pt idx="12">
                  <c:v>733</c:v>
                </c:pt>
                <c:pt idx="13">
                  <c:v>519</c:v>
                </c:pt>
                <c:pt idx="14">
                  <c:v>474</c:v>
                </c:pt>
                <c:pt idx="15">
                  <c:v>648</c:v>
                </c:pt>
                <c:pt idx="16">
                  <c:v>730</c:v>
                </c:pt>
                <c:pt idx="17">
                  <c:v>245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'PM2'!$D$71</c:f>
              <c:strCache>
                <c:ptCount val="1"/>
                <c:pt idx="0">
                  <c:v>&lt; 30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'PM2'!$A$79:$A$96</c:f>
              <c:strCache>
                <c:ptCount val="18"/>
                <c:pt idx="0">
                  <c:v>Jan 2013</c:v>
                </c:pt>
                <c:pt idx="1">
                  <c:v>Feb</c:v>
                </c:pt>
                <c:pt idx="2">
                  <c:v>Mar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 </c:v>
                </c:pt>
                <c:pt idx="10">
                  <c:v>Nov </c:v>
                </c:pt>
                <c:pt idx="11">
                  <c:v>Dec </c:v>
                </c:pt>
                <c:pt idx="12">
                  <c:v>Jan 2014</c:v>
                </c:pt>
                <c:pt idx="13">
                  <c:v>Feb</c:v>
                </c:pt>
                <c:pt idx="14">
                  <c:v>March</c:v>
                </c:pt>
                <c:pt idx="15">
                  <c:v>April</c:v>
                </c:pt>
                <c:pt idx="16">
                  <c:v>May</c:v>
                </c:pt>
                <c:pt idx="17">
                  <c:v>June</c:v>
                </c:pt>
              </c:strCache>
            </c:strRef>
          </c:cat>
          <c:val>
            <c:numRef>
              <c:f>'PM2'!$D$79:$D$96</c:f>
              <c:numCache>
                <c:formatCode>General</c:formatCode>
                <c:ptCount val="18"/>
                <c:pt idx="0">
                  <c:v>131</c:v>
                </c:pt>
                <c:pt idx="1">
                  <c:v>112</c:v>
                </c:pt>
                <c:pt idx="2">
                  <c:v>234</c:v>
                </c:pt>
                <c:pt idx="3">
                  <c:v>268</c:v>
                </c:pt>
                <c:pt idx="4">
                  <c:v>268</c:v>
                </c:pt>
                <c:pt idx="5">
                  <c:v>284</c:v>
                </c:pt>
                <c:pt idx="6">
                  <c:v>287</c:v>
                </c:pt>
                <c:pt idx="7">
                  <c:v>279</c:v>
                </c:pt>
                <c:pt idx="8">
                  <c:v>272</c:v>
                </c:pt>
                <c:pt idx="9">
                  <c:v>361</c:v>
                </c:pt>
                <c:pt idx="10">
                  <c:v>131</c:v>
                </c:pt>
                <c:pt idx="11">
                  <c:v>239</c:v>
                </c:pt>
                <c:pt idx="12">
                  <c:v>241</c:v>
                </c:pt>
                <c:pt idx="13">
                  <c:v>77</c:v>
                </c:pt>
                <c:pt idx="14">
                  <c:v>187</c:v>
                </c:pt>
                <c:pt idx="15">
                  <c:v>273</c:v>
                </c:pt>
                <c:pt idx="16">
                  <c:v>189</c:v>
                </c:pt>
                <c:pt idx="17">
                  <c:v>106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'PM2'!$E$71</c:f>
              <c:strCache>
                <c:ptCount val="1"/>
                <c:pt idx="0">
                  <c:v>30-60 Days</c:v>
                </c:pt>
              </c:strCache>
            </c:strRef>
          </c:tx>
          <c:dLbls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'PM2'!$A$79:$A$96</c:f>
              <c:strCache>
                <c:ptCount val="18"/>
                <c:pt idx="0">
                  <c:v>Jan 2013</c:v>
                </c:pt>
                <c:pt idx="1">
                  <c:v>Feb</c:v>
                </c:pt>
                <c:pt idx="2">
                  <c:v>Mar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 </c:v>
                </c:pt>
                <c:pt idx="10">
                  <c:v>Nov </c:v>
                </c:pt>
                <c:pt idx="11">
                  <c:v>Dec </c:v>
                </c:pt>
                <c:pt idx="12">
                  <c:v>Jan 2014</c:v>
                </c:pt>
                <c:pt idx="13">
                  <c:v>Feb</c:v>
                </c:pt>
                <c:pt idx="14">
                  <c:v>March</c:v>
                </c:pt>
                <c:pt idx="15">
                  <c:v>April</c:v>
                </c:pt>
                <c:pt idx="16">
                  <c:v>May</c:v>
                </c:pt>
                <c:pt idx="17">
                  <c:v>June</c:v>
                </c:pt>
              </c:strCache>
            </c:strRef>
          </c:cat>
          <c:val>
            <c:numRef>
              <c:f>'PM2'!$E$79:$E$96</c:f>
              <c:numCache>
                <c:formatCode>General</c:formatCode>
                <c:ptCount val="18"/>
                <c:pt idx="0">
                  <c:v>32</c:v>
                </c:pt>
                <c:pt idx="1">
                  <c:v>20</c:v>
                </c:pt>
                <c:pt idx="2">
                  <c:v>10</c:v>
                </c:pt>
                <c:pt idx="3">
                  <c:v>125</c:v>
                </c:pt>
                <c:pt idx="4">
                  <c:v>148</c:v>
                </c:pt>
                <c:pt idx="5">
                  <c:v>140</c:v>
                </c:pt>
                <c:pt idx="6">
                  <c:v>137</c:v>
                </c:pt>
                <c:pt idx="7">
                  <c:v>118</c:v>
                </c:pt>
                <c:pt idx="8">
                  <c:v>162</c:v>
                </c:pt>
                <c:pt idx="9">
                  <c:v>49</c:v>
                </c:pt>
                <c:pt idx="10">
                  <c:v>173</c:v>
                </c:pt>
                <c:pt idx="11">
                  <c:v>318</c:v>
                </c:pt>
                <c:pt idx="12">
                  <c:v>125</c:v>
                </c:pt>
                <c:pt idx="13">
                  <c:v>79</c:v>
                </c:pt>
                <c:pt idx="14">
                  <c:v>43</c:v>
                </c:pt>
                <c:pt idx="15">
                  <c:v>128</c:v>
                </c:pt>
                <c:pt idx="16">
                  <c:v>192</c:v>
                </c:pt>
                <c:pt idx="17">
                  <c:v>79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'PM2'!$F$71</c:f>
              <c:strCache>
                <c:ptCount val="1"/>
                <c:pt idx="0">
                  <c:v>61- 90 Days 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'PM2'!$A$79:$A$96</c:f>
              <c:strCache>
                <c:ptCount val="18"/>
                <c:pt idx="0">
                  <c:v>Jan 2013</c:v>
                </c:pt>
                <c:pt idx="1">
                  <c:v>Feb</c:v>
                </c:pt>
                <c:pt idx="2">
                  <c:v>Mar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 </c:v>
                </c:pt>
                <c:pt idx="10">
                  <c:v>Nov </c:v>
                </c:pt>
                <c:pt idx="11">
                  <c:v>Dec </c:v>
                </c:pt>
                <c:pt idx="12">
                  <c:v>Jan 2014</c:v>
                </c:pt>
                <c:pt idx="13">
                  <c:v>Feb</c:v>
                </c:pt>
                <c:pt idx="14">
                  <c:v>March</c:v>
                </c:pt>
                <c:pt idx="15">
                  <c:v>April</c:v>
                </c:pt>
                <c:pt idx="16">
                  <c:v>May</c:v>
                </c:pt>
                <c:pt idx="17">
                  <c:v>June</c:v>
                </c:pt>
              </c:strCache>
            </c:strRef>
          </c:cat>
          <c:val>
            <c:numRef>
              <c:f>'PM2'!$F$79:$F$96</c:f>
              <c:numCache>
                <c:formatCode>General</c:formatCode>
                <c:ptCount val="18"/>
                <c:pt idx="0">
                  <c:v>15</c:v>
                </c:pt>
                <c:pt idx="1">
                  <c:v>9</c:v>
                </c:pt>
                <c:pt idx="2">
                  <c:v>1</c:v>
                </c:pt>
                <c:pt idx="3">
                  <c:v>2</c:v>
                </c:pt>
                <c:pt idx="4">
                  <c:v>95</c:v>
                </c:pt>
                <c:pt idx="5">
                  <c:v>97</c:v>
                </c:pt>
                <c:pt idx="6">
                  <c:v>67</c:v>
                </c:pt>
                <c:pt idx="7">
                  <c:v>130</c:v>
                </c:pt>
                <c:pt idx="8">
                  <c:v>91</c:v>
                </c:pt>
                <c:pt idx="9">
                  <c:v>0</c:v>
                </c:pt>
                <c:pt idx="10">
                  <c:v>0</c:v>
                </c:pt>
                <c:pt idx="11">
                  <c:v>225</c:v>
                </c:pt>
                <c:pt idx="12">
                  <c:v>219</c:v>
                </c:pt>
                <c:pt idx="13">
                  <c:v>119</c:v>
                </c:pt>
                <c:pt idx="14">
                  <c:v>57</c:v>
                </c:pt>
                <c:pt idx="15">
                  <c:v>32</c:v>
                </c:pt>
                <c:pt idx="16">
                  <c:v>86</c:v>
                </c:pt>
                <c:pt idx="17">
                  <c:v>49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'PM2'!$G$71</c:f>
              <c:strCache>
                <c:ptCount val="1"/>
                <c:pt idx="0">
                  <c:v>91-180 Days</c:v>
                </c:pt>
              </c:strCache>
            </c:strRef>
          </c:tx>
          <c:dLbls>
            <c:dLbl>
              <c:idx val="4"/>
              <c:layout>
                <c:manualLayout>
                  <c:x val="-1.3528516014338883E-2"/>
                  <c:y val="2.394850957299241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ln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'PM2'!$A$79:$A$96</c:f>
              <c:strCache>
                <c:ptCount val="18"/>
                <c:pt idx="0">
                  <c:v>Jan 2013</c:v>
                </c:pt>
                <c:pt idx="1">
                  <c:v>Feb</c:v>
                </c:pt>
                <c:pt idx="2">
                  <c:v>Mar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 </c:v>
                </c:pt>
                <c:pt idx="10">
                  <c:v>Nov </c:v>
                </c:pt>
                <c:pt idx="11">
                  <c:v>Dec </c:v>
                </c:pt>
                <c:pt idx="12">
                  <c:v>Jan 2014</c:v>
                </c:pt>
                <c:pt idx="13">
                  <c:v>Feb</c:v>
                </c:pt>
                <c:pt idx="14">
                  <c:v>March</c:v>
                </c:pt>
                <c:pt idx="15">
                  <c:v>April</c:v>
                </c:pt>
                <c:pt idx="16">
                  <c:v>May</c:v>
                </c:pt>
                <c:pt idx="17">
                  <c:v>June</c:v>
                </c:pt>
              </c:strCache>
            </c:strRef>
          </c:cat>
          <c:val>
            <c:numRef>
              <c:f>'PM2'!$G$79:$G$96</c:f>
              <c:numCache>
                <c:formatCode>General</c:formatCode>
                <c:ptCount val="18"/>
                <c:pt idx="0">
                  <c:v>39</c:v>
                </c:pt>
                <c:pt idx="1">
                  <c:v>7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67</c:v>
                </c:pt>
                <c:pt idx="6">
                  <c:v>0</c:v>
                </c:pt>
                <c:pt idx="7">
                  <c:v>64</c:v>
                </c:pt>
                <c:pt idx="8">
                  <c:v>38</c:v>
                </c:pt>
                <c:pt idx="9">
                  <c:v>0</c:v>
                </c:pt>
                <c:pt idx="10">
                  <c:v>0</c:v>
                </c:pt>
                <c:pt idx="11">
                  <c:v>52</c:v>
                </c:pt>
                <c:pt idx="12">
                  <c:v>148</c:v>
                </c:pt>
                <c:pt idx="13">
                  <c:v>244</c:v>
                </c:pt>
                <c:pt idx="14">
                  <c:v>181</c:v>
                </c:pt>
                <c:pt idx="15">
                  <c:v>155</c:v>
                </c:pt>
                <c:pt idx="16">
                  <c:v>121</c:v>
                </c:pt>
                <c:pt idx="17">
                  <c:v>11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'PM2'!$H$71</c:f>
              <c:strCache>
                <c:ptCount val="1"/>
                <c:pt idx="0">
                  <c:v>181-365 Days</c:v>
                </c:pt>
              </c:strCache>
            </c:strRef>
          </c:tx>
          <c:cat>
            <c:strRef>
              <c:f>'PM2'!$A$79:$A$96</c:f>
              <c:strCache>
                <c:ptCount val="18"/>
                <c:pt idx="0">
                  <c:v>Jan 2013</c:v>
                </c:pt>
                <c:pt idx="1">
                  <c:v>Feb</c:v>
                </c:pt>
                <c:pt idx="2">
                  <c:v>Mar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 </c:v>
                </c:pt>
                <c:pt idx="10">
                  <c:v>Nov </c:v>
                </c:pt>
                <c:pt idx="11">
                  <c:v>Dec </c:v>
                </c:pt>
                <c:pt idx="12">
                  <c:v>Jan 2014</c:v>
                </c:pt>
                <c:pt idx="13">
                  <c:v>Feb</c:v>
                </c:pt>
                <c:pt idx="14">
                  <c:v>March</c:v>
                </c:pt>
                <c:pt idx="15">
                  <c:v>April</c:v>
                </c:pt>
                <c:pt idx="16">
                  <c:v>May</c:v>
                </c:pt>
                <c:pt idx="17">
                  <c:v>June</c:v>
                </c:pt>
              </c:strCache>
            </c:strRef>
          </c:cat>
          <c:val>
            <c:numRef>
              <c:f>'PM2'!$H$79:$H$96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60</c:v>
                </c:pt>
                <c:pt idx="16">
                  <c:v>142</c:v>
                </c:pt>
                <c:pt idx="17">
                  <c:v>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'PM2'!$I$71</c:f>
              <c:strCache>
                <c:ptCount val="1"/>
                <c:pt idx="0">
                  <c:v>&gt;365 Days</c:v>
                </c:pt>
              </c:strCache>
            </c:strRef>
          </c:tx>
          <c:dLbls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'PM2'!$A$79:$A$96</c:f>
              <c:strCache>
                <c:ptCount val="18"/>
                <c:pt idx="0">
                  <c:v>Jan 2013</c:v>
                </c:pt>
                <c:pt idx="1">
                  <c:v>Feb</c:v>
                </c:pt>
                <c:pt idx="2">
                  <c:v>Mar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 </c:v>
                </c:pt>
                <c:pt idx="10">
                  <c:v>Nov </c:v>
                </c:pt>
                <c:pt idx="11">
                  <c:v>Dec </c:v>
                </c:pt>
                <c:pt idx="12">
                  <c:v>Jan 2014</c:v>
                </c:pt>
                <c:pt idx="13">
                  <c:v>Feb</c:v>
                </c:pt>
                <c:pt idx="14">
                  <c:v>March</c:v>
                </c:pt>
                <c:pt idx="15">
                  <c:v>April</c:v>
                </c:pt>
                <c:pt idx="16">
                  <c:v>May</c:v>
                </c:pt>
                <c:pt idx="17">
                  <c:v>June</c:v>
                </c:pt>
              </c:strCache>
            </c:strRef>
          </c:cat>
          <c:val>
            <c:numRef>
              <c:f>'PM2'!$I$79:$I$96</c:f>
              <c:numCache>
                <c:formatCode>General</c:formatCode>
                <c:ptCount val="18"/>
                <c:pt idx="0">
                  <c:v>8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88832"/>
        <c:axId val="167290368"/>
      </c:lineChart>
      <c:catAx>
        <c:axId val="16728883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67290368"/>
        <c:crosses val="autoZero"/>
        <c:auto val="1"/>
        <c:lblAlgn val="ctr"/>
        <c:lblOffset val="100"/>
        <c:noMultiLvlLbl val="0"/>
      </c:catAx>
      <c:valAx>
        <c:axId val="167290368"/>
        <c:scaling>
          <c:orientation val="minMax"/>
          <c:max val="1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work orders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67288832"/>
        <c:crosses val="autoZero"/>
        <c:crossBetween val="between"/>
      </c:valAx>
      <c:dTable>
        <c:showHorzBorder val="1"/>
        <c:showVertBorder val="1"/>
        <c:showOutline val="1"/>
        <c:showKeys val="1"/>
      </c:dTable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25" r="0.25" t="0.75" header="0.3" footer="0.3"/>
    <c:pageSetup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- Engineering Preventive Maintenance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1914425439271252E-2"/>
          <c:y val="0.18975142093252328"/>
          <c:w val="0.87729812636653104"/>
          <c:h val="0.59105335609272613"/>
        </c:manualLayout>
      </c:layout>
      <c:lineChart>
        <c:grouping val="standard"/>
        <c:varyColors val="0"/>
        <c:ser>
          <c:idx val="0"/>
          <c:order val="0"/>
          <c:tx>
            <c:strRef>
              <c:f>PM!$C$3</c:f>
              <c:strCache>
                <c:ptCount val="1"/>
                <c:pt idx="0">
                  <c:v>Total #</c:v>
                </c:pt>
              </c:strCache>
            </c:strRef>
          </c:tx>
          <c:dLbls>
            <c:dLbl>
              <c:idx val="0"/>
              <c:layout>
                <c:manualLayout>
                  <c:x val="-4.7197640117994126E-3"/>
                  <c:y val="-9.6618357487922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PM!$A$4:$A$21</c:f>
              <c:numCache>
                <c:formatCode>mmm\-yy</c:formatCode>
                <c:ptCount val="1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</c:numCache>
            </c:numRef>
          </c:cat>
          <c:val>
            <c:numRef>
              <c:f>PM!$C$4:$C$21</c:f>
              <c:numCache>
                <c:formatCode>#,##0_);[Red]\(#,##0\)</c:formatCode>
                <c:ptCount val="18"/>
                <c:pt idx="0">
                  <c:v>223</c:v>
                </c:pt>
                <c:pt idx="1">
                  <c:v>104</c:v>
                </c:pt>
                <c:pt idx="2">
                  <c:v>1152</c:v>
                </c:pt>
                <c:pt idx="3">
                  <c:v>1397</c:v>
                </c:pt>
                <c:pt idx="4">
                  <c:v>448</c:v>
                </c:pt>
                <c:pt idx="5">
                  <c:v>678</c:v>
                </c:pt>
                <c:pt idx="6">
                  <c:v>435</c:v>
                </c:pt>
                <c:pt idx="7">
                  <c:v>915</c:v>
                </c:pt>
                <c:pt idx="8">
                  <c:v>973</c:v>
                </c:pt>
                <c:pt idx="9">
                  <c:v>722</c:v>
                </c:pt>
                <c:pt idx="10">
                  <c:v>603</c:v>
                </c:pt>
                <c:pt idx="11">
                  <c:v>711</c:v>
                </c:pt>
                <c:pt idx="12">
                  <c:v>807</c:v>
                </c:pt>
                <c:pt idx="13">
                  <c:v>761</c:v>
                </c:pt>
                <c:pt idx="14">
                  <c:v>882</c:v>
                </c:pt>
                <c:pt idx="15">
                  <c:v>1033</c:v>
                </c:pt>
                <c:pt idx="16">
                  <c:v>1075</c:v>
                </c:pt>
                <c:pt idx="17">
                  <c:v>588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PM!$E$3</c:f>
              <c:strCache>
                <c:ptCount val="1"/>
                <c:pt idx="0">
                  <c:v>  &gt; 30 Days Old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PM!$A$4:$A$21</c:f>
              <c:numCache>
                <c:formatCode>mmm\-yy</c:formatCode>
                <c:ptCount val="1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</c:numCache>
            </c:numRef>
          </c:cat>
          <c:val>
            <c:numRef>
              <c:f>PM!$E$4:$E$21</c:f>
              <c:numCache>
                <c:formatCode>#,##0_);[Red]\(#,##0\)</c:formatCode>
                <c:ptCount val="18"/>
                <c:pt idx="0" formatCode="General">
                  <c:v>86</c:v>
                </c:pt>
                <c:pt idx="1">
                  <c:v>40</c:v>
                </c:pt>
                <c:pt idx="2">
                  <c:v>814</c:v>
                </c:pt>
                <c:pt idx="3">
                  <c:v>836</c:v>
                </c:pt>
                <c:pt idx="4">
                  <c:v>381</c:v>
                </c:pt>
                <c:pt idx="5">
                  <c:v>158</c:v>
                </c:pt>
                <c:pt idx="6">
                  <c:v>204</c:v>
                </c:pt>
                <c:pt idx="7">
                  <c:v>301</c:v>
                </c:pt>
                <c:pt idx="8">
                  <c:v>345</c:v>
                </c:pt>
                <c:pt idx="9">
                  <c:v>166</c:v>
                </c:pt>
                <c:pt idx="10">
                  <c:v>262</c:v>
                </c:pt>
                <c:pt idx="11">
                  <c:v>257</c:v>
                </c:pt>
                <c:pt idx="12">
                  <c:v>204</c:v>
                </c:pt>
                <c:pt idx="13">
                  <c:v>139</c:v>
                </c:pt>
                <c:pt idx="14">
                  <c:v>116</c:v>
                </c:pt>
                <c:pt idx="15">
                  <c:v>199</c:v>
                </c:pt>
                <c:pt idx="16">
                  <c:v>309</c:v>
                </c:pt>
                <c:pt idx="17">
                  <c:v>304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414400"/>
        <c:axId val="165415936"/>
      </c:lineChart>
      <c:dateAx>
        <c:axId val="16541440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65415936"/>
        <c:crosses val="autoZero"/>
        <c:auto val="1"/>
        <c:lblOffset val="100"/>
        <c:baseTimeUnit val="months"/>
      </c:dateAx>
      <c:valAx>
        <c:axId val="16541593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65414400"/>
        <c:crosses val="autoZero"/>
        <c:crossBetween val="between"/>
      </c:valAx>
      <c:spPr>
        <a:noFill/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25" r="0.25" t="0.75" header="0.3" footer="0.3"/>
    <c:pageSetup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</a:t>
            </a:r>
            <a:r>
              <a:rPr lang="en-US" baseline="0"/>
              <a:t> on Time</a:t>
            </a:r>
          </a:p>
          <a:p>
            <a:pPr>
              <a:defRPr/>
            </a:pPr>
            <a:r>
              <a:rPr lang="en-US" baseline="0"/>
              <a:t>PREVENTIVE MAINTENANCE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2189267888055181E-2"/>
          <c:y val="0.2011144570626516"/>
          <c:w val="0.89410383958324768"/>
          <c:h val="0.57354906214112578"/>
        </c:manualLayout>
      </c:layout>
      <c:lineChart>
        <c:grouping val="standard"/>
        <c:varyColors val="0"/>
        <c:ser>
          <c:idx val="0"/>
          <c:order val="0"/>
          <c:tx>
            <c:strRef>
              <c:f>PM!$B$27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PM!$A$28:$A$49</c:f>
              <c:numCache>
                <c:formatCode>mmm\-yy</c:formatCode>
                <c:ptCount val="22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  <c:pt idx="15">
                  <c:v>41275</c:v>
                </c:pt>
                <c:pt idx="16">
                  <c:v>41306</c:v>
                </c:pt>
                <c:pt idx="17">
                  <c:v>41334</c:v>
                </c:pt>
                <c:pt idx="18">
                  <c:v>41365</c:v>
                </c:pt>
                <c:pt idx="19">
                  <c:v>41395</c:v>
                </c:pt>
                <c:pt idx="20">
                  <c:v>41426</c:v>
                </c:pt>
                <c:pt idx="21">
                  <c:v>41456</c:v>
                </c:pt>
              </c:numCache>
            </c:numRef>
          </c:cat>
          <c:val>
            <c:numRef>
              <c:f>PM!$B$28:$B$49</c:f>
              <c:numCache>
                <c:formatCode>0%</c:formatCode>
                <c:ptCount val="22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PM!$E$27</c:f>
              <c:strCache>
                <c:ptCount val="1"/>
                <c:pt idx="0">
                  <c:v>Actual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PM!$A$28:$A$49</c:f>
              <c:numCache>
                <c:formatCode>mmm\-yy</c:formatCode>
                <c:ptCount val="22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  <c:pt idx="15">
                  <c:v>41275</c:v>
                </c:pt>
                <c:pt idx="16">
                  <c:v>41306</c:v>
                </c:pt>
                <c:pt idx="17">
                  <c:v>41334</c:v>
                </c:pt>
                <c:pt idx="18">
                  <c:v>41365</c:v>
                </c:pt>
                <c:pt idx="19">
                  <c:v>41395</c:v>
                </c:pt>
                <c:pt idx="20">
                  <c:v>41426</c:v>
                </c:pt>
                <c:pt idx="21">
                  <c:v>41456</c:v>
                </c:pt>
              </c:numCache>
            </c:numRef>
          </c:cat>
          <c:val>
            <c:numRef>
              <c:f>PM!$E$28:$E$49</c:f>
              <c:numCache>
                <c:formatCode>0%</c:formatCode>
                <c:ptCount val="22"/>
                <c:pt idx="0">
                  <c:v>0.23</c:v>
                </c:pt>
                <c:pt idx="1">
                  <c:v>0.45</c:v>
                </c:pt>
                <c:pt idx="2">
                  <c:v>0.05</c:v>
                </c:pt>
                <c:pt idx="3">
                  <c:v>0.42</c:v>
                </c:pt>
                <c:pt idx="4">
                  <c:v>0.89</c:v>
                </c:pt>
                <c:pt idx="5">
                  <c:v>0.59</c:v>
                </c:pt>
                <c:pt idx="6">
                  <c:v>0.91</c:v>
                </c:pt>
                <c:pt idx="7">
                  <c:v>0.61</c:v>
                </c:pt>
                <c:pt idx="8">
                  <c:v>0.62</c:v>
                </c:pt>
                <c:pt idx="9">
                  <c:v>0.78</c:v>
                </c:pt>
                <c:pt idx="10">
                  <c:v>0.82</c:v>
                </c:pt>
                <c:pt idx="11">
                  <c:v>0.78</c:v>
                </c:pt>
                <c:pt idx="12">
                  <c:v>0.8434959349593496</c:v>
                </c:pt>
                <c:pt idx="13">
                  <c:v>0.71962616822429903</c:v>
                </c:pt>
                <c:pt idx="14">
                  <c:v>0.76124567474048443</c:v>
                </c:pt>
                <c:pt idx="15">
                  <c:v>0.73376623376623373</c:v>
                </c:pt>
                <c:pt idx="16">
                  <c:v>0.58994708994709</c:v>
                </c:pt>
                <c:pt idx="17">
                  <c:v>0.73509933774834435</c:v>
                </c:pt>
                <c:pt idx="18">
                  <c:v>0.90929203539823011</c:v>
                </c:pt>
                <c:pt idx="19">
                  <c:v>0.90508474576271192</c:v>
                </c:pt>
                <c:pt idx="20">
                  <c:v>0.76</c:v>
                </c:pt>
                <c:pt idx="21">
                  <c:v>0.81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443840"/>
        <c:axId val="165457920"/>
      </c:lineChart>
      <c:dateAx>
        <c:axId val="16544384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65457920"/>
        <c:crosses val="autoZero"/>
        <c:auto val="1"/>
        <c:lblOffset val="100"/>
        <c:baseTimeUnit val="months"/>
      </c:dateAx>
      <c:valAx>
        <c:axId val="16545792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654438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Engineering PM Backlog - Age Distribution 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31075365296953339"/>
          <c:y val="5.47429602492830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993500472514103"/>
          <c:y val="7.562288065226358E-2"/>
          <c:w val="0.83920260399599034"/>
          <c:h val="0.57008665267224357"/>
        </c:manualLayout>
      </c:layout>
      <c:lineChart>
        <c:grouping val="standard"/>
        <c:varyColors val="0"/>
        <c:ser>
          <c:idx val="0"/>
          <c:order val="0"/>
          <c:tx>
            <c:strRef>
              <c:f>PM!$B$53</c:f>
              <c:strCache>
                <c:ptCount val="1"/>
                <c:pt idx="0">
                  <c:v>Total #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PM!$A$54:$A$66</c:f>
              <c:strCache>
                <c:ptCount val="13"/>
                <c:pt idx="0">
                  <c:v>June 2012</c:v>
                </c:pt>
                <c:pt idx="1">
                  <c:v>July</c:v>
                </c:pt>
                <c:pt idx="2">
                  <c:v>Aug </c:v>
                </c:pt>
                <c:pt idx="3">
                  <c:v>Sept</c:v>
                </c:pt>
                <c:pt idx="4">
                  <c:v>Oct </c:v>
                </c:pt>
                <c:pt idx="5">
                  <c:v>Nov </c:v>
                </c:pt>
                <c:pt idx="6">
                  <c:v>Dec </c:v>
                </c:pt>
                <c:pt idx="7">
                  <c:v>Jan 2013</c:v>
                </c:pt>
                <c:pt idx="8">
                  <c:v>Feb</c:v>
                </c:pt>
                <c:pt idx="9">
                  <c:v>Mar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</c:strCache>
            </c:strRef>
          </c:cat>
          <c:val>
            <c:numRef>
              <c:f>PM!$B$54:$B$66</c:f>
              <c:numCache>
                <c:formatCode>General</c:formatCode>
                <c:ptCount val="13"/>
                <c:pt idx="0">
                  <c:v>678</c:v>
                </c:pt>
                <c:pt idx="1">
                  <c:v>435</c:v>
                </c:pt>
                <c:pt idx="2">
                  <c:v>915</c:v>
                </c:pt>
                <c:pt idx="3">
                  <c:v>973</c:v>
                </c:pt>
                <c:pt idx="4">
                  <c:v>772</c:v>
                </c:pt>
                <c:pt idx="5">
                  <c:v>603</c:v>
                </c:pt>
                <c:pt idx="6">
                  <c:v>711</c:v>
                </c:pt>
                <c:pt idx="7">
                  <c:v>807</c:v>
                </c:pt>
                <c:pt idx="8">
                  <c:v>761</c:v>
                </c:pt>
                <c:pt idx="9">
                  <c:v>882</c:v>
                </c:pt>
                <c:pt idx="10">
                  <c:v>1033</c:v>
                </c:pt>
                <c:pt idx="11">
                  <c:v>1075</c:v>
                </c:pt>
                <c:pt idx="12">
                  <c:v>588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PM!$C$53</c:f>
              <c:strCache>
                <c:ptCount val="1"/>
                <c:pt idx="0">
                  <c:v>&lt; 30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PM!$A$54:$A$66</c:f>
              <c:strCache>
                <c:ptCount val="13"/>
                <c:pt idx="0">
                  <c:v>June 2012</c:v>
                </c:pt>
                <c:pt idx="1">
                  <c:v>July</c:v>
                </c:pt>
                <c:pt idx="2">
                  <c:v>Aug </c:v>
                </c:pt>
                <c:pt idx="3">
                  <c:v>Sept</c:v>
                </c:pt>
                <c:pt idx="4">
                  <c:v>Oct </c:v>
                </c:pt>
                <c:pt idx="5">
                  <c:v>Nov </c:v>
                </c:pt>
                <c:pt idx="6">
                  <c:v>Dec </c:v>
                </c:pt>
                <c:pt idx="7">
                  <c:v>Jan 2013</c:v>
                </c:pt>
                <c:pt idx="8">
                  <c:v>Feb</c:v>
                </c:pt>
                <c:pt idx="9">
                  <c:v>Mar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</c:strCache>
            </c:strRef>
          </c:cat>
          <c:val>
            <c:numRef>
              <c:f>PM!$C$54:$C$66</c:f>
              <c:numCache>
                <c:formatCode>General</c:formatCode>
                <c:ptCount val="13"/>
                <c:pt idx="0">
                  <c:v>520</c:v>
                </c:pt>
                <c:pt idx="1">
                  <c:v>231</c:v>
                </c:pt>
                <c:pt idx="2">
                  <c:v>614</c:v>
                </c:pt>
                <c:pt idx="3">
                  <c:v>628</c:v>
                </c:pt>
                <c:pt idx="4">
                  <c:v>606</c:v>
                </c:pt>
                <c:pt idx="5">
                  <c:v>341</c:v>
                </c:pt>
                <c:pt idx="6">
                  <c:v>454</c:v>
                </c:pt>
                <c:pt idx="7">
                  <c:v>603</c:v>
                </c:pt>
                <c:pt idx="8">
                  <c:v>622</c:v>
                </c:pt>
                <c:pt idx="9">
                  <c:v>766</c:v>
                </c:pt>
                <c:pt idx="10">
                  <c:v>834</c:v>
                </c:pt>
                <c:pt idx="11">
                  <c:v>766</c:v>
                </c:pt>
                <c:pt idx="12">
                  <c:v>284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PM!$D$53</c:f>
              <c:strCache>
                <c:ptCount val="1"/>
                <c:pt idx="0">
                  <c:v>30-60 Days</c:v>
                </c:pt>
              </c:strCache>
            </c:strRef>
          </c:tx>
          <c:dLbls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PM!$A$54:$A$66</c:f>
              <c:strCache>
                <c:ptCount val="13"/>
                <c:pt idx="0">
                  <c:v>June 2012</c:v>
                </c:pt>
                <c:pt idx="1">
                  <c:v>July</c:v>
                </c:pt>
                <c:pt idx="2">
                  <c:v>Aug </c:v>
                </c:pt>
                <c:pt idx="3">
                  <c:v>Sept</c:v>
                </c:pt>
                <c:pt idx="4">
                  <c:v>Oct </c:v>
                </c:pt>
                <c:pt idx="5">
                  <c:v>Nov </c:v>
                </c:pt>
                <c:pt idx="6">
                  <c:v>Dec </c:v>
                </c:pt>
                <c:pt idx="7">
                  <c:v>Jan 2013</c:v>
                </c:pt>
                <c:pt idx="8">
                  <c:v>Feb</c:v>
                </c:pt>
                <c:pt idx="9">
                  <c:v>Mar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</c:strCache>
            </c:strRef>
          </c:cat>
          <c:val>
            <c:numRef>
              <c:f>PM!$D$54:$D$66</c:f>
              <c:numCache>
                <c:formatCode>General</c:formatCode>
                <c:ptCount val="13"/>
                <c:pt idx="0">
                  <c:v>101</c:v>
                </c:pt>
                <c:pt idx="1">
                  <c:v>121</c:v>
                </c:pt>
                <c:pt idx="2">
                  <c:v>116</c:v>
                </c:pt>
                <c:pt idx="3">
                  <c:v>90</c:v>
                </c:pt>
                <c:pt idx="4">
                  <c:v>74</c:v>
                </c:pt>
                <c:pt idx="5">
                  <c:v>197</c:v>
                </c:pt>
                <c:pt idx="6">
                  <c:v>75</c:v>
                </c:pt>
                <c:pt idx="7">
                  <c:v>47</c:v>
                </c:pt>
                <c:pt idx="8">
                  <c:v>90</c:v>
                </c:pt>
                <c:pt idx="9">
                  <c:v>37</c:v>
                </c:pt>
                <c:pt idx="10">
                  <c:v>143</c:v>
                </c:pt>
                <c:pt idx="11">
                  <c:v>156</c:v>
                </c:pt>
                <c:pt idx="12">
                  <c:v>140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PM!$E$53</c:f>
              <c:strCache>
                <c:ptCount val="1"/>
                <c:pt idx="0">
                  <c:v>61- 90 Days 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PM!$A$54:$A$66</c:f>
              <c:strCache>
                <c:ptCount val="13"/>
                <c:pt idx="0">
                  <c:v>June 2012</c:v>
                </c:pt>
                <c:pt idx="1">
                  <c:v>July</c:v>
                </c:pt>
                <c:pt idx="2">
                  <c:v>Aug </c:v>
                </c:pt>
                <c:pt idx="3">
                  <c:v>Sept</c:v>
                </c:pt>
                <c:pt idx="4">
                  <c:v>Oct </c:v>
                </c:pt>
                <c:pt idx="5">
                  <c:v>Nov </c:v>
                </c:pt>
                <c:pt idx="6">
                  <c:v>Dec </c:v>
                </c:pt>
                <c:pt idx="7">
                  <c:v>Jan 2013</c:v>
                </c:pt>
                <c:pt idx="8">
                  <c:v>Feb</c:v>
                </c:pt>
                <c:pt idx="9">
                  <c:v>Mar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</c:strCache>
            </c:strRef>
          </c:cat>
          <c:val>
            <c:numRef>
              <c:f>PM!$E$54:$E$66</c:f>
              <c:numCache>
                <c:formatCode>General</c:formatCode>
                <c:ptCount val="13"/>
                <c:pt idx="0">
                  <c:v>29</c:v>
                </c:pt>
                <c:pt idx="1">
                  <c:v>35</c:v>
                </c:pt>
                <c:pt idx="2">
                  <c:v>113</c:v>
                </c:pt>
                <c:pt idx="3">
                  <c:v>105</c:v>
                </c:pt>
                <c:pt idx="4">
                  <c:v>16</c:v>
                </c:pt>
                <c:pt idx="5">
                  <c:v>20</c:v>
                </c:pt>
                <c:pt idx="6">
                  <c:v>102</c:v>
                </c:pt>
                <c:pt idx="7">
                  <c:v>50</c:v>
                </c:pt>
                <c:pt idx="8">
                  <c:v>35</c:v>
                </c:pt>
                <c:pt idx="9">
                  <c:v>47</c:v>
                </c:pt>
                <c:pt idx="10">
                  <c:v>28</c:v>
                </c:pt>
                <c:pt idx="11">
                  <c:v>109</c:v>
                </c:pt>
                <c:pt idx="12">
                  <c:v>97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PM!$F$53</c:f>
              <c:strCache>
                <c:ptCount val="1"/>
                <c:pt idx="0">
                  <c:v>91-180 Days</c:v>
                </c:pt>
              </c:strCache>
            </c:strRef>
          </c:tx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PM!$A$54:$A$66</c:f>
              <c:strCache>
                <c:ptCount val="13"/>
                <c:pt idx="0">
                  <c:v>June 2012</c:v>
                </c:pt>
                <c:pt idx="1">
                  <c:v>July</c:v>
                </c:pt>
                <c:pt idx="2">
                  <c:v>Aug </c:v>
                </c:pt>
                <c:pt idx="3">
                  <c:v>Sept</c:v>
                </c:pt>
                <c:pt idx="4">
                  <c:v>Oct </c:v>
                </c:pt>
                <c:pt idx="5">
                  <c:v>Nov </c:v>
                </c:pt>
                <c:pt idx="6">
                  <c:v>Dec </c:v>
                </c:pt>
                <c:pt idx="7">
                  <c:v>Jan 2013</c:v>
                </c:pt>
                <c:pt idx="8">
                  <c:v>Feb</c:v>
                </c:pt>
                <c:pt idx="9">
                  <c:v>Mar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</c:strCache>
            </c:strRef>
          </c:cat>
          <c:val>
            <c:numRef>
              <c:f>PM!$F$54:$F$66</c:f>
              <c:numCache>
                <c:formatCode>General</c:formatCode>
                <c:ptCount val="13"/>
                <c:pt idx="0">
                  <c:v>22</c:v>
                </c:pt>
                <c:pt idx="1">
                  <c:v>44</c:v>
                </c:pt>
                <c:pt idx="2">
                  <c:v>66</c:v>
                </c:pt>
                <c:pt idx="3">
                  <c:v>133</c:v>
                </c:pt>
                <c:pt idx="4">
                  <c:v>58</c:v>
                </c:pt>
                <c:pt idx="5">
                  <c:v>30</c:v>
                </c:pt>
                <c:pt idx="6">
                  <c:v>66</c:v>
                </c:pt>
                <c:pt idx="7">
                  <c:v>107</c:v>
                </c:pt>
                <c:pt idx="8">
                  <c:v>14</c:v>
                </c:pt>
                <c:pt idx="9">
                  <c:v>32</c:v>
                </c:pt>
                <c:pt idx="10">
                  <c:v>25</c:v>
                </c:pt>
                <c:pt idx="11">
                  <c:v>44</c:v>
                </c:pt>
                <c:pt idx="12">
                  <c:v>67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PM!$G$53</c:f>
              <c:strCache>
                <c:ptCount val="1"/>
                <c:pt idx="0">
                  <c:v>181-365 Days</c:v>
                </c:pt>
              </c:strCache>
            </c:strRef>
          </c:tx>
          <c:cat>
            <c:strRef>
              <c:f>PM!$A$54:$A$66</c:f>
              <c:strCache>
                <c:ptCount val="13"/>
                <c:pt idx="0">
                  <c:v>June 2012</c:v>
                </c:pt>
                <c:pt idx="1">
                  <c:v>July</c:v>
                </c:pt>
                <c:pt idx="2">
                  <c:v>Aug </c:v>
                </c:pt>
                <c:pt idx="3">
                  <c:v>Sept</c:v>
                </c:pt>
                <c:pt idx="4">
                  <c:v>Oct </c:v>
                </c:pt>
                <c:pt idx="5">
                  <c:v>Nov </c:v>
                </c:pt>
                <c:pt idx="6">
                  <c:v>Dec </c:v>
                </c:pt>
                <c:pt idx="7">
                  <c:v>Jan 2013</c:v>
                </c:pt>
                <c:pt idx="8">
                  <c:v>Feb</c:v>
                </c:pt>
                <c:pt idx="9">
                  <c:v>Mar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</c:strCache>
            </c:strRef>
          </c:cat>
          <c:val>
            <c:numRef>
              <c:f>PM!$G$54:$G$66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12</c:v>
                </c:pt>
                <c:pt idx="4">
                  <c:v>18</c:v>
                </c:pt>
                <c:pt idx="5">
                  <c:v>15</c:v>
                </c:pt>
                <c:pt idx="6">
                  <c:v>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PM!$H$53</c:f>
              <c:strCache>
                <c:ptCount val="1"/>
                <c:pt idx="0">
                  <c:v>&gt;365 Days</c:v>
                </c:pt>
              </c:strCache>
            </c:strRef>
          </c:tx>
          <c:dLbls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PM!$A$54:$A$66</c:f>
              <c:strCache>
                <c:ptCount val="13"/>
                <c:pt idx="0">
                  <c:v>June 2012</c:v>
                </c:pt>
                <c:pt idx="1">
                  <c:v>July</c:v>
                </c:pt>
                <c:pt idx="2">
                  <c:v>Aug </c:v>
                </c:pt>
                <c:pt idx="3">
                  <c:v>Sept</c:v>
                </c:pt>
                <c:pt idx="4">
                  <c:v>Oct </c:v>
                </c:pt>
                <c:pt idx="5">
                  <c:v>Nov </c:v>
                </c:pt>
                <c:pt idx="6">
                  <c:v>Dec </c:v>
                </c:pt>
                <c:pt idx="7">
                  <c:v>Jan 2013</c:v>
                </c:pt>
                <c:pt idx="8">
                  <c:v>Feb</c:v>
                </c:pt>
                <c:pt idx="9">
                  <c:v>Mar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</c:strCache>
            </c:strRef>
          </c:cat>
          <c:val>
            <c:numRef>
              <c:f>PM!$H$54:$H$66</c:f>
              <c:numCache>
                <c:formatCode>General</c:formatCode>
                <c:ptCount val="13"/>
                <c:pt idx="0">
                  <c:v>6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578240"/>
        <c:axId val="165579776"/>
      </c:lineChart>
      <c:catAx>
        <c:axId val="165578240"/>
        <c:scaling>
          <c:orientation val="minMax"/>
        </c:scaling>
        <c:delete val="0"/>
        <c:axPos val="b"/>
        <c:majorTickMark val="none"/>
        <c:minorTickMark val="none"/>
        <c:tickLblPos val="nextTo"/>
        <c:crossAx val="165579776"/>
        <c:crosses val="autoZero"/>
        <c:auto val="1"/>
        <c:lblAlgn val="ctr"/>
        <c:lblOffset val="100"/>
        <c:noMultiLvlLbl val="0"/>
      </c:catAx>
      <c:valAx>
        <c:axId val="165579776"/>
        <c:scaling>
          <c:orientation val="minMax"/>
          <c:max val="1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work orders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6557824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25" r="0.25" t="0.75" header="0.3" footer="0.3"/>
    <c:pageSetup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Estimate to Customer </a:t>
            </a:r>
            <a:r>
              <a:rPr lang="en-US" u="sng"/>
              <a:t>with</a:t>
            </a:r>
            <a:r>
              <a:rPr lang="en-US"/>
              <a:t> Planning</a:t>
            </a:r>
          </a:p>
        </c:rich>
      </c:tx>
      <c:layout>
        <c:manualLayout>
          <c:xMode val="edge"/>
          <c:yMode val="edge"/>
          <c:x val="0.14747998453967504"/>
          <c:y val="4.394317214794541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860520772795897E-2"/>
          <c:y val="0.11970929740585583"/>
          <c:w val="0.88467614329597899"/>
          <c:h val="0.66408530511066155"/>
        </c:manualLayout>
      </c:layout>
      <c:lineChart>
        <c:grouping val="standard"/>
        <c:varyColors val="0"/>
        <c:ser>
          <c:idx val="0"/>
          <c:order val="0"/>
          <c:tx>
            <c:strRef>
              <c:f>'D&amp;CS P&amp;E (2)'!$B$2</c:f>
              <c:strCache>
                <c:ptCount val="1"/>
                <c:pt idx="0">
                  <c:v>% complete on time (estimates, planning)</c:v>
                </c:pt>
              </c:strCache>
            </c:strRef>
          </c:tx>
          <c:dLbls>
            <c:dLbl>
              <c:idx val="2"/>
              <c:layout>
                <c:manualLayout>
                  <c:x val="-9.3403385872737887E-3"/>
                  <c:y val="-4.64694520487352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P&amp;E (2)'!$A$3:$A$11</c:f>
              <c:numCache>
                <c:formatCode>mmm\-yy</c:formatCode>
                <c:ptCount val="9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</c:numCache>
            </c:numRef>
          </c:cat>
          <c:val>
            <c:numRef>
              <c:f>'D&amp;CS P&amp;E (2)'!$B$3:$B$11</c:f>
              <c:numCache>
                <c:formatCode>0%</c:formatCode>
                <c:ptCount val="9"/>
                <c:pt idx="0">
                  <c:v>0.78600000000000003</c:v>
                </c:pt>
                <c:pt idx="1">
                  <c:v>1</c:v>
                </c:pt>
                <c:pt idx="2">
                  <c:v>0.87</c:v>
                </c:pt>
                <c:pt idx="3">
                  <c:v>0.52900000000000003</c:v>
                </c:pt>
                <c:pt idx="4">
                  <c:v>0.52900000000000003</c:v>
                </c:pt>
                <c:pt idx="5">
                  <c:v>0.76</c:v>
                </c:pt>
                <c:pt idx="6">
                  <c:v>0.54800000000000004</c:v>
                </c:pt>
                <c:pt idx="7">
                  <c:v>0.54800000000000004</c:v>
                </c:pt>
                <c:pt idx="8">
                  <c:v>0.80100000000000005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 P&amp;E (2)'!$C$2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'D&amp;CS P&amp;E (2)'!$A$3:$A$11</c:f>
              <c:numCache>
                <c:formatCode>mmm\-yy</c:formatCode>
                <c:ptCount val="9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</c:numCache>
            </c:numRef>
          </c:cat>
          <c:val>
            <c:numRef>
              <c:f>'D&amp;CS P&amp;E (2)'!$C$3:$C$11</c:f>
              <c:numCache>
                <c:formatCode>0%</c:formatCode>
                <c:ptCount val="9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44768"/>
        <c:axId val="167350656"/>
      </c:lineChart>
      <c:dateAx>
        <c:axId val="16734476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67350656"/>
        <c:crosses val="autoZero"/>
        <c:auto val="1"/>
        <c:lblOffset val="100"/>
        <c:baseTimeUnit val="months"/>
      </c:dateAx>
      <c:valAx>
        <c:axId val="16735065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673447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281997773548823"/>
          <c:y val="0.9239632869812876"/>
          <c:w val="0.43436004452902349"/>
          <c:h val="7.60367130187124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Estimate to Customer </a:t>
            </a:r>
            <a:r>
              <a:rPr lang="en-US" u="sng"/>
              <a:t>with</a:t>
            </a:r>
            <a:r>
              <a:rPr lang="en-US"/>
              <a:t> Planning</a:t>
            </a:r>
          </a:p>
        </c:rich>
      </c:tx>
      <c:layout>
        <c:manualLayout>
          <c:xMode val="edge"/>
          <c:yMode val="edge"/>
          <c:x val="0.14747998453967504"/>
          <c:y val="4.394317214794541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4394494565384734E-2"/>
          <c:y val="0.11970940391441134"/>
          <c:w val="0.88467614329597899"/>
          <c:h val="0.66408530511066155"/>
        </c:manualLayout>
      </c:layout>
      <c:lineChart>
        <c:grouping val="standard"/>
        <c:varyColors val="0"/>
        <c:ser>
          <c:idx val="0"/>
          <c:order val="0"/>
          <c:tx>
            <c:strRef>
              <c:f>'D&amp;CS P&amp;E'!$B$2</c:f>
              <c:strCache>
                <c:ptCount val="1"/>
                <c:pt idx="0">
                  <c:v>% in 30 days or less</c:v>
                </c:pt>
              </c:strCache>
            </c:strRef>
          </c:tx>
          <c:dLbls>
            <c:dLbl>
              <c:idx val="2"/>
              <c:layout>
                <c:manualLayout>
                  <c:x val="-9.3403385872737887E-3"/>
                  <c:y val="-4.64694520487352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P&amp;E'!$A$3:$A$27</c:f>
              <c:numCache>
                <c:formatCode>mmm\-yy</c:formatCode>
                <c:ptCount val="25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  <c:pt idx="14">
                  <c:v>41275</c:v>
                </c:pt>
                <c:pt idx="15">
                  <c:v>41306</c:v>
                </c:pt>
                <c:pt idx="16">
                  <c:v>41334</c:v>
                </c:pt>
                <c:pt idx="17">
                  <c:v>41365</c:v>
                </c:pt>
                <c:pt idx="18">
                  <c:v>41395</c:v>
                </c:pt>
                <c:pt idx="19">
                  <c:v>41426</c:v>
                </c:pt>
                <c:pt idx="20">
                  <c:v>41456</c:v>
                </c:pt>
                <c:pt idx="21">
                  <c:v>41487</c:v>
                </c:pt>
                <c:pt idx="22">
                  <c:v>41518</c:v>
                </c:pt>
                <c:pt idx="23">
                  <c:v>41548</c:v>
                </c:pt>
                <c:pt idx="24">
                  <c:v>41579</c:v>
                </c:pt>
              </c:numCache>
            </c:numRef>
          </c:cat>
          <c:val>
            <c:numRef>
              <c:f>'D&amp;CS P&amp;E'!$B$3:$B$27</c:f>
              <c:numCache>
                <c:formatCode>0%</c:formatCode>
                <c:ptCount val="25"/>
                <c:pt idx="3">
                  <c:v>0.75</c:v>
                </c:pt>
                <c:pt idx="4">
                  <c:v>0.83</c:v>
                </c:pt>
                <c:pt idx="5">
                  <c:v>0.5</c:v>
                </c:pt>
                <c:pt idx="6">
                  <c:v>0.55600000000000005</c:v>
                </c:pt>
                <c:pt idx="7">
                  <c:v>0.6</c:v>
                </c:pt>
                <c:pt idx="8">
                  <c:v>0.22</c:v>
                </c:pt>
                <c:pt idx="9">
                  <c:v>0.25</c:v>
                </c:pt>
                <c:pt idx="10">
                  <c:v>0.27300000000000002</c:v>
                </c:pt>
                <c:pt idx="11">
                  <c:v>0.90900000000000003</c:v>
                </c:pt>
                <c:pt idx="12">
                  <c:v>0.85699999999999998</c:v>
                </c:pt>
                <c:pt idx="13">
                  <c:v>1</c:v>
                </c:pt>
                <c:pt idx="14">
                  <c:v>0.2</c:v>
                </c:pt>
                <c:pt idx="16">
                  <c:v>0.42899999999999999</c:v>
                </c:pt>
                <c:pt idx="17">
                  <c:v>0.55600000000000005</c:v>
                </c:pt>
                <c:pt idx="18">
                  <c:v>0.57099999999999995</c:v>
                </c:pt>
                <c:pt idx="20">
                  <c:v>0.13300000000000001</c:v>
                </c:pt>
                <c:pt idx="21">
                  <c:v>0.2</c:v>
                </c:pt>
                <c:pt idx="22">
                  <c:v>0.33</c:v>
                </c:pt>
                <c:pt idx="23">
                  <c:v>0.25</c:v>
                </c:pt>
                <c:pt idx="24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 P&amp;E'!$C$2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'D&amp;CS P&amp;E'!$A$3:$A$27</c:f>
              <c:numCache>
                <c:formatCode>mmm\-yy</c:formatCode>
                <c:ptCount val="25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  <c:pt idx="14">
                  <c:v>41275</c:v>
                </c:pt>
                <c:pt idx="15">
                  <c:v>41306</c:v>
                </c:pt>
                <c:pt idx="16">
                  <c:v>41334</c:v>
                </c:pt>
                <c:pt idx="17">
                  <c:v>41365</c:v>
                </c:pt>
                <c:pt idx="18">
                  <c:v>41395</c:v>
                </c:pt>
                <c:pt idx="19">
                  <c:v>41426</c:v>
                </c:pt>
                <c:pt idx="20">
                  <c:v>41456</c:v>
                </c:pt>
                <c:pt idx="21">
                  <c:v>41487</c:v>
                </c:pt>
                <c:pt idx="22">
                  <c:v>41518</c:v>
                </c:pt>
                <c:pt idx="23">
                  <c:v>41548</c:v>
                </c:pt>
                <c:pt idx="24">
                  <c:v>41579</c:v>
                </c:pt>
              </c:numCache>
            </c:numRef>
          </c:cat>
          <c:val>
            <c:numRef>
              <c:f>'D&amp;CS P&amp;E'!$C$3:$C$27</c:f>
              <c:numCache>
                <c:formatCode>0%</c:formatCode>
                <c:ptCount val="2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  <c:pt idx="24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103488"/>
        <c:axId val="167109376"/>
      </c:lineChart>
      <c:dateAx>
        <c:axId val="1671034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67109376"/>
        <c:crosses val="autoZero"/>
        <c:auto val="1"/>
        <c:lblOffset val="100"/>
        <c:baseTimeUnit val="months"/>
      </c:dateAx>
      <c:valAx>
        <c:axId val="16710937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671034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281997773548823"/>
          <c:y val="0.9239632869812876"/>
          <c:w val="0.43436004452902349"/>
          <c:h val="7.60367130187124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Estimate to Customer </a:t>
            </a:r>
            <a:r>
              <a:rPr lang="en-US" u="sng"/>
              <a:t>with out</a:t>
            </a:r>
            <a:r>
              <a:rPr lang="en-US" u="sng" baseline="0"/>
              <a:t> </a:t>
            </a:r>
            <a:r>
              <a:rPr lang="en-US" baseline="0"/>
              <a:t>Planning</a:t>
            </a:r>
            <a:endParaRPr lang="en-US"/>
          </a:p>
        </c:rich>
      </c:tx>
      <c:layout>
        <c:manualLayout>
          <c:xMode val="edge"/>
          <c:yMode val="edge"/>
          <c:x val="0.1666233803795813"/>
          <c:y val="2.366729586005483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50635942302429E-2"/>
          <c:y val="0.13219685869434813"/>
          <c:w val="0.88467614329597899"/>
          <c:h val="0.66408530511066155"/>
        </c:manualLayout>
      </c:layout>
      <c:lineChart>
        <c:grouping val="standard"/>
        <c:varyColors val="0"/>
        <c:ser>
          <c:idx val="0"/>
          <c:order val="0"/>
          <c:tx>
            <c:strRef>
              <c:f>'D&amp;CS P&amp;E'!$B$105</c:f>
              <c:strCache>
                <c:ptCount val="1"/>
                <c:pt idx="0">
                  <c:v>% in 10 days or less</c:v>
                </c:pt>
              </c:strCache>
            </c:strRef>
          </c:tx>
          <c:dLbls>
            <c:dLbl>
              <c:idx val="2"/>
              <c:layout>
                <c:manualLayout>
                  <c:x val="-2.2233496176849297E-5"/>
                  <c:y val="-3.2732505197157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3335983590577387E-2"/>
                  <c:y val="-3.4344509107072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P&amp;E'!$A$106:$A$130</c:f>
              <c:numCache>
                <c:formatCode>mmm\-yy</c:formatCode>
                <c:ptCount val="25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  <c:pt idx="14">
                  <c:v>41275</c:v>
                </c:pt>
                <c:pt idx="15">
                  <c:v>41306</c:v>
                </c:pt>
                <c:pt idx="16">
                  <c:v>41334</c:v>
                </c:pt>
                <c:pt idx="17">
                  <c:v>41365</c:v>
                </c:pt>
                <c:pt idx="18">
                  <c:v>41395</c:v>
                </c:pt>
                <c:pt idx="19">
                  <c:v>41426</c:v>
                </c:pt>
                <c:pt idx="20">
                  <c:v>41456</c:v>
                </c:pt>
                <c:pt idx="21">
                  <c:v>41487</c:v>
                </c:pt>
                <c:pt idx="22">
                  <c:v>41518</c:v>
                </c:pt>
                <c:pt idx="23">
                  <c:v>41548</c:v>
                </c:pt>
                <c:pt idx="24">
                  <c:v>41579</c:v>
                </c:pt>
              </c:numCache>
            </c:numRef>
          </c:cat>
          <c:val>
            <c:numRef>
              <c:f>'D&amp;CS P&amp;E'!$B$106:$B$130</c:f>
              <c:numCache>
                <c:formatCode>0%</c:formatCode>
                <c:ptCount val="25"/>
                <c:pt idx="0">
                  <c:v>0.12</c:v>
                </c:pt>
                <c:pt idx="1">
                  <c:v>0.3</c:v>
                </c:pt>
                <c:pt idx="2">
                  <c:v>0.14000000000000001</c:v>
                </c:pt>
                <c:pt idx="3">
                  <c:v>0.64</c:v>
                </c:pt>
                <c:pt idx="4">
                  <c:v>0.63</c:v>
                </c:pt>
                <c:pt idx="5">
                  <c:v>1</c:v>
                </c:pt>
                <c:pt idx="8" formatCode="0.0%">
                  <c:v>0.16700000000000001</c:v>
                </c:pt>
                <c:pt idx="9">
                  <c:v>0.125</c:v>
                </c:pt>
                <c:pt idx="11">
                  <c:v>0.75</c:v>
                </c:pt>
                <c:pt idx="12">
                  <c:v>0.5</c:v>
                </c:pt>
                <c:pt idx="13">
                  <c:v>1</c:v>
                </c:pt>
                <c:pt idx="14">
                  <c:v>0.5</c:v>
                </c:pt>
                <c:pt idx="15">
                  <c:v>0.5</c:v>
                </c:pt>
                <c:pt idx="16">
                  <c:v>0.75</c:v>
                </c:pt>
                <c:pt idx="17">
                  <c:v>0.5</c:v>
                </c:pt>
                <c:pt idx="18">
                  <c:v>0.375</c:v>
                </c:pt>
                <c:pt idx="19">
                  <c:v>0.2</c:v>
                </c:pt>
                <c:pt idx="20">
                  <c:v>0.4</c:v>
                </c:pt>
                <c:pt idx="22">
                  <c:v>0.2</c:v>
                </c:pt>
                <c:pt idx="23">
                  <c:v>0.56999999999999995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 P&amp;E'!$C$105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'D&amp;CS P&amp;E'!$A$106:$A$130</c:f>
              <c:numCache>
                <c:formatCode>mmm\-yy</c:formatCode>
                <c:ptCount val="25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  <c:pt idx="14">
                  <c:v>41275</c:v>
                </c:pt>
                <c:pt idx="15">
                  <c:v>41306</c:v>
                </c:pt>
                <c:pt idx="16">
                  <c:v>41334</c:v>
                </c:pt>
                <c:pt idx="17">
                  <c:v>41365</c:v>
                </c:pt>
                <c:pt idx="18">
                  <c:v>41395</c:v>
                </c:pt>
                <c:pt idx="19">
                  <c:v>41426</c:v>
                </c:pt>
                <c:pt idx="20">
                  <c:v>41456</c:v>
                </c:pt>
                <c:pt idx="21">
                  <c:v>41487</c:v>
                </c:pt>
                <c:pt idx="22">
                  <c:v>41518</c:v>
                </c:pt>
                <c:pt idx="23">
                  <c:v>41548</c:v>
                </c:pt>
                <c:pt idx="24">
                  <c:v>41579</c:v>
                </c:pt>
              </c:numCache>
            </c:numRef>
          </c:cat>
          <c:val>
            <c:numRef>
              <c:f>'D&amp;CS P&amp;E'!$C$106:$C$130</c:f>
              <c:numCache>
                <c:formatCode>0%</c:formatCode>
                <c:ptCount val="2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  <c:pt idx="24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156352"/>
        <c:axId val="167170432"/>
      </c:lineChart>
      <c:dateAx>
        <c:axId val="16715635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67170432"/>
        <c:crosses val="autoZero"/>
        <c:auto val="1"/>
        <c:lblOffset val="100"/>
        <c:baseTimeUnit val="months"/>
      </c:dateAx>
      <c:valAx>
        <c:axId val="167170432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671563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>
                <a:effectLst/>
              </a:rPr>
              <a:t>Curb Appeal III - Project % Complete Per Week</a:t>
            </a:r>
            <a:endParaRPr lang="en-US">
              <a:effectLst/>
            </a:endParaRP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8.5938845037781167E-2"/>
          <c:y val="0.12464485310665414"/>
          <c:w val="0.87967451765280247"/>
          <c:h val="0.73470214545074775"/>
        </c:manualLayout>
      </c:layout>
      <c:lineChart>
        <c:grouping val="standard"/>
        <c:varyColors val="0"/>
        <c:ser>
          <c:idx val="0"/>
          <c:order val="0"/>
          <c:tx>
            <c:strRef>
              <c:f>'Curb Appeal III &amp; IV'!$B$2</c:f>
              <c:strCache>
                <c:ptCount val="1"/>
                <c:pt idx="0">
                  <c:v>Curb Appeal III Project % complete per week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'Curb Appeal III &amp; IV'!$A$3:$A$45</c:f>
              <c:numCache>
                <c:formatCode>m/d/yy;@</c:formatCode>
                <c:ptCount val="43"/>
                <c:pt idx="0">
                  <c:v>41583</c:v>
                </c:pt>
                <c:pt idx="1">
                  <c:v>41590</c:v>
                </c:pt>
                <c:pt idx="2">
                  <c:v>41597</c:v>
                </c:pt>
                <c:pt idx="3">
                  <c:v>41604</c:v>
                </c:pt>
                <c:pt idx="4">
                  <c:v>41611</c:v>
                </c:pt>
                <c:pt idx="5">
                  <c:v>41618</c:v>
                </c:pt>
                <c:pt idx="6">
                  <c:v>41625</c:v>
                </c:pt>
                <c:pt idx="7">
                  <c:v>41632</c:v>
                </c:pt>
                <c:pt idx="8">
                  <c:v>41639</c:v>
                </c:pt>
                <c:pt idx="9">
                  <c:v>41646</c:v>
                </c:pt>
                <c:pt idx="10">
                  <c:v>41653</c:v>
                </c:pt>
                <c:pt idx="11">
                  <c:v>41660</c:v>
                </c:pt>
                <c:pt idx="12">
                  <c:v>41667</c:v>
                </c:pt>
                <c:pt idx="13">
                  <c:v>41674</c:v>
                </c:pt>
                <c:pt idx="14">
                  <c:v>41681</c:v>
                </c:pt>
                <c:pt idx="15">
                  <c:v>41688</c:v>
                </c:pt>
                <c:pt idx="16">
                  <c:v>41695</c:v>
                </c:pt>
                <c:pt idx="17">
                  <c:v>41702</c:v>
                </c:pt>
                <c:pt idx="18">
                  <c:v>41709</c:v>
                </c:pt>
                <c:pt idx="19">
                  <c:v>41716</c:v>
                </c:pt>
                <c:pt idx="20">
                  <c:v>41723</c:v>
                </c:pt>
                <c:pt idx="21">
                  <c:v>41730</c:v>
                </c:pt>
                <c:pt idx="22">
                  <c:v>41737</c:v>
                </c:pt>
                <c:pt idx="23">
                  <c:v>41744</c:v>
                </c:pt>
                <c:pt idx="24">
                  <c:v>41751</c:v>
                </c:pt>
                <c:pt idx="25">
                  <c:v>41758</c:v>
                </c:pt>
                <c:pt idx="26">
                  <c:v>41765</c:v>
                </c:pt>
                <c:pt idx="27">
                  <c:v>41772</c:v>
                </c:pt>
                <c:pt idx="28">
                  <c:v>41779</c:v>
                </c:pt>
                <c:pt idx="29">
                  <c:v>41786</c:v>
                </c:pt>
                <c:pt idx="30">
                  <c:v>41793</c:v>
                </c:pt>
                <c:pt idx="31">
                  <c:v>41800</c:v>
                </c:pt>
                <c:pt idx="32">
                  <c:v>41807</c:v>
                </c:pt>
                <c:pt idx="33">
                  <c:v>41814</c:v>
                </c:pt>
                <c:pt idx="34">
                  <c:v>41821</c:v>
                </c:pt>
                <c:pt idx="35">
                  <c:v>41828</c:v>
                </c:pt>
                <c:pt idx="36">
                  <c:v>41835</c:v>
                </c:pt>
                <c:pt idx="37">
                  <c:v>41842</c:v>
                </c:pt>
                <c:pt idx="38">
                  <c:v>41849</c:v>
                </c:pt>
                <c:pt idx="39">
                  <c:v>41856</c:v>
                </c:pt>
                <c:pt idx="40">
                  <c:v>41863</c:v>
                </c:pt>
                <c:pt idx="41">
                  <c:v>41870</c:v>
                </c:pt>
                <c:pt idx="42">
                  <c:v>41877</c:v>
                </c:pt>
              </c:numCache>
            </c:numRef>
          </c:cat>
          <c:val>
            <c:numRef>
              <c:f>'Curb Appeal III &amp; IV'!$B$3:$B$45</c:f>
              <c:numCache>
                <c:formatCode>0%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0.26</c:v>
                </c:pt>
                <c:pt idx="5">
                  <c:v>0.26</c:v>
                </c:pt>
                <c:pt idx="6">
                  <c:v>0.26</c:v>
                </c:pt>
                <c:pt idx="7">
                  <c:v>0.26</c:v>
                </c:pt>
                <c:pt idx="8">
                  <c:v>0.26</c:v>
                </c:pt>
                <c:pt idx="9">
                  <c:v>0.38</c:v>
                </c:pt>
                <c:pt idx="10">
                  <c:v>0.38</c:v>
                </c:pt>
                <c:pt idx="11">
                  <c:v>0.38</c:v>
                </c:pt>
                <c:pt idx="12">
                  <c:v>0.38</c:v>
                </c:pt>
                <c:pt idx="13">
                  <c:v>0.38</c:v>
                </c:pt>
                <c:pt idx="14">
                  <c:v>0.38</c:v>
                </c:pt>
                <c:pt idx="15">
                  <c:v>0.38</c:v>
                </c:pt>
                <c:pt idx="16">
                  <c:v>0.38</c:v>
                </c:pt>
                <c:pt idx="17">
                  <c:v>0.47</c:v>
                </c:pt>
                <c:pt idx="18">
                  <c:v>0.49</c:v>
                </c:pt>
                <c:pt idx="19">
                  <c:v>0.57999999999999996</c:v>
                </c:pt>
                <c:pt idx="20">
                  <c:v>0.62</c:v>
                </c:pt>
                <c:pt idx="21">
                  <c:v>0.66</c:v>
                </c:pt>
                <c:pt idx="22">
                  <c:v>0.71</c:v>
                </c:pt>
                <c:pt idx="23">
                  <c:v>0.71</c:v>
                </c:pt>
                <c:pt idx="24">
                  <c:v>0.73</c:v>
                </c:pt>
                <c:pt idx="25">
                  <c:v>0.74</c:v>
                </c:pt>
                <c:pt idx="26">
                  <c:v>0.76</c:v>
                </c:pt>
                <c:pt idx="27">
                  <c:v>0.78</c:v>
                </c:pt>
                <c:pt idx="28">
                  <c:v>0.79</c:v>
                </c:pt>
                <c:pt idx="29">
                  <c:v>0.82</c:v>
                </c:pt>
                <c:pt idx="30">
                  <c:v>0.83</c:v>
                </c:pt>
                <c:pt idx="31">
                  <c:v>0.85</c:v>
                </c:pt>
                <c:pt idx="32">
                  <c:v>0.86</c:v>
                </c:pt>
                <c:pt idx="33">
                  <c:v>0.87</c:v>
                </c:pt>
                <c:pt idx="34">
                  <c:v>0.91</c:v>
                </c:pt>
                <c:pt idx="35">
                  <c:v>0.91</c:v>
                </c:pt>
                <c:pt idx="36">
                  <c:v>0.91</c:v>
                </c:pt>
                <c:pt idx="37">
                  <c:v>0.92</c:v>
                </c:pt>
                <c:pt idx="38">
                  <c:v>0.92</c:v>
                </c:pt>
                <c:pt idx="39">
                  <c:v>0.93</c:v>
                </c:pt>
                <c:pt idx="40">
                  <c:v>0.94</c:v>
                </c:pt>
                <c:pt idx="41">
                  <c:v>0.94</c:v>
                </c:pt>
                <c:pt idx="42">
                  <c:v>0.95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'Curb Appeal III &amp; IV'!$C$2</c:f>
              <c:strCache>
                <c:ptCount val="1"/>
                <c:pt idx="0">
                  <c:v>Goal</c:v>
                </c:pt>
              </c:strCache>
            </c:strRef>
          </c:tx>
          <c:marker>
            <c:symbol val="none"/>
          </c:marker>
          <c:cat>
            <c:numRef>
              <c:f>'Curb Appeal III &amp; IV'!$A$3:$A$45</c:f>
              <c:numCache>
                <c:formatCode>m/d/yy;@</c:formatCode>
                <c:ptCount val="43"/>
                <c:pt idx="0">
                  <c:v>41583</c:v>
                </c:pt>
                <c:pt idx="1">
                  <c:v>41590</c:v>
                </c:pt>
                <c:pt idx="2">
                  <c:v>41597</c:v>
                </c:pt>
                <c:pt idx="3">
                  <c:v>41604</c:v>
                </c:pt>
                <c:pt idx="4">
                  <c:v>41611</c:v>
                </c:pt>
                <c:pt idx="5">
                  <c:v>41618</c:v>
                </c:pt>
                <c:pt idx="6">
                  <c:v>41625</c:v>
                </c:pt>
                <c:pt idx="7">
                  <c:v>41632</c:v>
                </c:pt>
                <c:pt idx="8">
                  <c:v>41639</c:v>
                </c:pt>
                <c:pt idx="9">
                  <c:v>41646</c:v>
                </c:pt>
                <c:pt idx="10">
                  <c:v>41653</c:v>
                </c:pt>
                <c:pt idx="11">
                  <c:v>41660</c:v>
                </c:pt>
                <c:pt idx="12">
                  <c:v>41667</c:v>
                </c:pt>
                <c:pt idx="13">
                  <c:v>41674</c:v>
                </c:pt>
                <c:pt idx="14">
                  <c:v>41681</c:v>
                </c:pt>
                <c:pt idx="15">
                  <c:v>41688</c:v>
                </c:pt>
                <c:pt idx="16">
                  <c:v>41695</c:v>
                </c:pt>
                <c:pt idx="17">
                  <c:v>41702</c:v>
                </c:pt>
                <c:pt idx="18">
                  <c:v>41709</c:v>
                </c:pt>
                <c:pt idx="19">
                  <c:v>41716</c:v>
                </c:pt>
                <c:pt idx="20">
                  <c:v>41723</c:v>
                </c:pt>
                <c:pt idx="21">
                  <c:v>41730</c:v>
                </c:pt>
                <c:pt idx="22">
                  <c:v>41737</c:v>
                </c:pt>
                <c:pt idx="23">
                  <c:v>41744</c:v>
                </c:pt>
                <c:pt idx="24">
                  <c:v>41751</c:v>
                </c:pt>
                <c:pt idx="25">
                  <c:v>41758</c:v>
                </c:pt>
                <c:pt idx="26">
                  <c:v>41765</c:v>
                </c:pt>
                <c:pt idx="27">
                  <c:v>41772</c:v>
                </c:pt>
                <c:pt idx="28">
                  <c:v>41779</c:v>
                </c:pt>
                <c:pt idx="29">
                  <c:v>41786</c:v>
                </c:pt>
                <c:pt idx="30">
                  <c:v>41793</c:v>
                </c:pt>
                <c:pt idx="31">
                  <c:v>41800</c:v>
                </c:pt>
                <c:pt idx="32">
                  <c:v>41807</c:v>
                </c:pt>
                <c:pt idx="33">
                  <c:v>41814</c:v>
                </c:pt>
                <c:pt idx="34">
                  <c:v>41821</c:v>
                </c:pt>
                <c:pt idx="35">
                  <c:v>41828</c:v>
                </c:pt>
                <c:pt idx="36">
                  <c:v>41835</c:v>
                </c:pt>
                <c:pt idx="37">
                  <c:v>41842</c:v>
                </c:pt>
                <c:pt idx="38">
                  <c:v>41849</c:v>
                </c:pt>
                <c:pt idx="39">
                  <c:v>41856</c:v>
                </c:pt>
                <c:pt idx="40">
                  <c:v>41863</c:v>
                </c:pt>
                <c:pt idx="41">
                  <c:v>41870</c:v>
                </c:pt>
                <c:pt idx="42">
                  <c:v>41877</c:v>
                </c:pt>
              </c:numCache>
            </c:numRef>
          </c:cat>
          <c:val>
            <c:numRef>
              <c:f>'Curb Appeal III &amp; IV'!$C$3:$C$45</c:f>
              <c:numCache>
                <c:formatCode>0%</c:formatCode>
                <c:ptCount val="43"/>
                <c:pt idx="0">
                  <c:v>0.04</c:v>
                </c:pt>
                <c:pt idx="1">
                  <c:v>0.08</c:v>
                </c:pt>
                <c:pt idx="2">
                  <c:v>0.12</c:v>
                </c:pt>
                <c:pt idx="3">
                  <c:v>0.16</c:v>
                </c:pt>
                <c:pt idx="4">
                  <c:v>0.2</c:v>
                </c:pt>
                <c:pt idx="5">
                  <c:v>0.24</c:v>
                </c:pt>
                <c:pt idx="6">
                  <c:v>0.28000000000000003</c:v>
                </c:pt>
                <c:pt idx="7">
                  <c:v>0.32</c:v>
                </c:pt>
                <c:pt idx="8">
                  <c:v>0.36</c:v>
                </c:pt>
                <c:pt idx="9">
                  <c:v>0.4</c:v>
                </c:pt>
                <c:pt idx="10">
                  <c:v>0.44</c:v>
                </c:pt>
                <c:pt idx="11">
                  <c:v>0.48</c:v>
                </c:pt>
                <c:pt idx="12">
                  <c:v>0.52</c:v>
                </c:pt>
                <c:pt idx="13">
                  <c:v>0.56000000000000005</c:v>
                </c:pt>
                <c:pt idx="14">
                  <c:v>0.6</c:v>
                </c:pt>
                <c:pt idx="15">
                  <c:v>0.64</c:v>
                </c:pt>
                <c:pt idx="16">
                  <c:v>0.68</c:v>
                </c:pt>
                <c:pt idx="17">
                  <c:v>0.72</c:v>
                </c:pt>
                <c:pt idx="18">
                  <c:v>0.76</c:v>
                </c:pt>
                <c:pt idx="19">
                  <c:v>0.8</c:v>
                </c:pt>
                <c:pt idx="20">
                  <c:v>0.84</c:v>
                </c:pt>
                <c:pt idx="21">
                  <c:v>0.88</c:v>
                </c:pt>
                <c:pt idx="22">
                  <c:v>0.92</c:v>
                </c:pt>
                <c:pt idx="23">
                  <c:v>0.96</c:v>
                </c:pt>
                <c:pt idx="24">
                  <c:v>0.99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478400"/>
        <c:axId val="150475520"/>
      </c:lineChart>
      <c:dateAx>
        <c:axId val="149478400"/>
        <c:scaling>
          <c:orientation val="minMax"/>
        </c:scaling>
        <c:delete val="0"/>
        <c:axPos val="b"/>
        <c:numFmt formatCode="m/d/yy;@" sourceLinked="1"/>
        <c:majorTickMark val="out"/>
        <c:minorTickMark val="none"/>
        <c:tickLblPos val="nextTo"/>
        <c:crossAx val="150475520"/>
        <c:crosses val="autoZero"/>
        <c:auto val="1"/>
        <c:lblOffset val="100"/>
        <c:baseTimeUnit val="days"/>
      </c:dateAx>
      <c:valAx>
        <c:axId val="150475520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</a:t>
                </a:r>
                <a:r>
                  <a:rPr lang="en-US" baseline="0"/>
                  <a:t> Complete</a:t>
                </a:r>
                <a:endParaRPr lang="en-US"/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1494784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21077798125346"/>
          <c:y val="0.70028496789011008"/>
          <c:w val="0.31320145973201924"/>
          <c:h val="9.3714096370620642E-2"/>
        </c:manualLayout>
      </c:layout>
      <c:overlay val="0"/>
    </c:legend>
    <c:plotVisOnly val="1"/>
    <c:dispBlanksAs val="gap"/>
    <c:showDLblsOverMax val="0"/>
  </c:chart>
  <c:printSettings>
    <c:headerFooter/>
    <c:pageMargins b="0.75" l="0.25" r="0.25" t="0.75" header="0.3" footer="0.3"/>
    <c:pageSetup orientation="landscape"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Planning Backlog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'D&amp;CS P&amp;E'!$B$49</c:f>
              <c:strCache>
                <c:ptCount val="1"/>
                <c:pt idx="0">
                  <c:v>Total backlog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'D&amp;CS P&amp;E'!$A$50:$A$67</c:f>
              <c:strCache>
                <c:ptCount val="18"/>
                <c:pt idx="0">
                  <c:v>June 2012</c:v>
                </c:pt>
                <c:pt idx="1">
                  <c:v>July </c:v>
                </c:pt>
                <c:pt idx="2">
                  <c:v>Aug </c:v>
                </c:pt>
                <c:pt idx="3">
                  <c:v>Sept </c:v>
                </c:pt>
                <c:pt idx="4">
                  <c:v>Oct </c:v>
                </c:pt>
                <c:pt idx="5">
                  <c:v>Nov </c:v>
                </c:pt>
                <c:pt idx="6">
                  <c:v>Dec</c:v>
                </c:pt>
                <c:pt idx="7">
                  <c:v>Jan 2013</c:v>
                </c:pt>
                <c:pt idx="8">
                  <c:v>Feb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  <c:pt idx="13">
                  <c:v>July </c:v>
                </c:pt>
                <c:pt idx="14">
                  <c:v>Aug </c:v>
                </c:pt>
                <c:pt idx="15">
                  <c:v>Sept </c:v>
                </c:pt>
                <c:pt idx="16">
                  <c:v>Oct </c:v>
                </c:pt>
                <c:pt idx="17">
                  <c:v>Nov</c:v>
                </c:pt>
              </c:strCache>
            </c:strRef>
          </c:cat>
          <c:val>
            <c:numRef>
              <c:f>'D&amp;CS P&amp;E'!$B$50:$B$67</c:f>
              <c:numCache>
                <c:formatCode>#,##0_);[Red]\(#,##0\)</c:formatCode>
                <c:ptCount val="18"/>
                <c:pt idx="0" formatCode="General">
                  <c:v>24</c:v>
                </c:pt>
                <c:pt idx="1">
                  <c:v>27</c:v>
                </c:pt>
                <c:pt idx="2" formatCode="General">
                  <c:v>22</c:v>
                </c:pt>
                <c:pt idx="3" formatCode="General">
                  <c:v>15</c:v>
                </c:pt>
                <c:pt idx="4" formatCode="General">
                  <c:v>16</c:v>
                </c:pt>
                <c:pt idx="5" formatCode="General">
                  <c:v>15</c:v>
                </c:pt>
                <c:pt idx="6" formatCode="General">
                  <c:v>13</c:v>
                </c:pt>
                <c:pt idx="7" formatCode="General">
                  <c:v>14</c:v>
                </c:pt>
                <c:pt idx="8" formatCode="General">
                  <c:v>22</c:v>
                </c:pt>
                <c:pt idx="9" formatCode="General">
                  <c:v>21</c:v>
                </c:pt>
                <c:pt idx="10" formatCode="General">
                  <c:v>21</c:v>
                </c:pt>
                <c:pt idx="11" formatCode="General">
                  <c:v>26</c:v>
                </c:pt>
                <c:pt idx="12" formatCode="General">
                  <c:v>28</c:v>
                </c:pt>
                <c:pt idx="13" formatCode="General">
                  <c:v>21</c:v>
                </c:pt>
                <c:pt idx="14" formatCode="General">
                  <c:v>22</c:v>
                </c:pt>
                <c:pt idx="15" formatCode="General">
                  <c:v>8</c:v>
                </c:pt>
                <c:pt idx="16" formatCode="General">
                  <c:v>8</c:v>
                </c:pt>
                <c:pt idx="17" formatCode="General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 P&amp;E'!$C$49</c:f>
              <c:strCache>
                <c:ptCount val="1"/>
                <c:pt idx="0">
                  <c:v> 1-10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'D&amp;CS P&amp;E'!$A$50:$A$67</c:f>
              <c:strCache>
                <c:ptCount val="18"/>
                <c:pt idx="0">
                  <c:v>June 2012</c:v>
                </c:pt>
                <c:pt idx="1">
                  <c:v>July </c:v>
                </c:pt>
                <c:pt idx="2">
                  <c:v>Aug </c:v>
                </c:pt>
                <c:pt idx="3">
                  <c:v>Sept </c:v>
                </c:pt>
                <c:pt idx="4">
                  <c:v>Oct </c:v>
                </c:pt>
                <c:pt idx="5">
                  <c:v>Nov </c:v>
                </c:pt>
                <c:pt idx="6">
                  <c:v>Dec</c:v>
                </c:pt>
                <c:pt idx="7">
                  <c:v>Jan 2013</c:v>
                </c:pt>
                <c:pt idx="8">
                  <c:v>Feb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  <c:pt idx="13">
                  <c:v>July </c:v>
                </c:pt>
                <c:pt idx="14">
                  <c:v>Aug </c:v>
                </c:pt>
                <c:pt idx="15">
                  <c:v>Sept </c:v>
                </c:pt>
                <c:pt idx="16">
                  <c:v>Oct </c:v>
                </c:pt>
                <c:pt idx="17">
                  <c:v>Nov</c:v>
                </c:pt>
              </c:strCache>
            </c:strRef>
          </c:cat>
          <c:val>
            <c:numRef>
              <c:f>'D&amp;CS P&amp;E'!$C$50:$C$67</c:f>
              <c:numCache>
                <c:formatCode>#,##0_);[Red]\(#,##0\)</c:formatCode>
                <c:ptCount val="18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0</c:v>
                </c:pt>
                <c:pt idx="7">
                  <c:v>4</c:v>
                </c:pt>
                <c:pt idx="8">
                  <c:v>5</c:v>
                </c:pt>
                <c:pt idx="9">
                  <c:v>14</c:v>
                </c:pt>
                <c:pt idx="10">
                  <c:v>4</c:v>
                </c:pt>
                <c:pt idx="11">
                  <c:v>10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'D&amp;CS P&amp;E'!$D$49</c:f>
              <c:strCache>
                <c:ptCount val="1"/>
                <c:pt idx="0">
                  <c:v>11-20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'D&amp;CS P&amp;E'!$A$50:$A$67</c:f>
              <c:strCache>
                <c:ptCount val="18"/>
                <c:pt idx="0">
                  <c:v>June 2012</c:v>
                </c:pt>
                <c:pt idx="1">
                  <c:v>July </c:v>
                </c:pt>
                <c:pt idx="2">
                  <c:v>Aug </c:v>
                </c:pt>
                <c:pt idx="3">
                  <c:v>Sept </c:v>
                </c:pt>
                <c:pt idx="4">
                  <c:v>Oct </c:v>
                </c:pt>
                <c:pt idx="5">
                  <c:v>Nov </c:v>
                </c:pt>
                <c:pt idx="6">
                  <c:v>Dec</c:v>
                </c:pt>
                <c:pt idx="7">
                  <c:v>Jan 2013</c:v>
                </c:pt>
                <c:pt idx="8">
                  <c:v>Feb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  <c:pt idx="13">
                  <c:v>July </c:v>
                </c:pt>
                <c:pt idx="14">
                  <c:v>Aug </c:v>
                </c:pt>
                <c:pt idx="15">
                  <c:v>Sept </c:v>
                </c:pt>
                <c:pt idx="16">
                  <c:v>Oct </c:v>
                </c:pt>
                <c:pt idx="17">
                  <c:v>Nov</c:v>
                </c:pt>
              </c:strCache>
            </c:strRef>
          </c:cat>
          <c:val>
            <c:numRef>
              <c:f>'D&amp;CS P&amp;E'!$D$50:$D$67</c:f>
              <c:numCache>
                <c:formatCode>General</c:formatCode>
                <c:ptCount val="18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0</c:v>
                </c:pt>
                <c:pt idx="10">
                  <c:v>7</c:v>
                </c:pt>
                <c:pt idx="11">
                  <c:v>5</c:v>
                </c:pt>
                <c:pt idx="12">
                  <c:v>3</c:v>
                </c:pt>
                <c:pt idx="13">
                  <c:v>1</c:v>
                </c:pt>
                <c:pt idx="14">
                  <c:v>4</c:v>
                </c:pt>
                <c:pt idx="15">
                  <c:v>1</c:v>
                </c:pt>
                <c:pt idx="16">
                  <c:v>2</c:v>
                </c:pt>
                <c:pt idx="17">
                  <c:v>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'D&amp;CS P&amp;E'!$E$49</c:f>
              <c:strCache>
                <c:ptCount val="1"/>
                <c:pt idx="0">
                  <c:v>21-30 days</c:v>
                </c:pt>
              </c:strCache>
            </c:strRef>
          </c:tx>
          <c:cat>
            <c:strRef>
              <c:f>'D&amp;CS P&amp;E'!$A$50:$A$67</c:f>
              <c:strCache>
                <c:ptCount val="18"/>
                <c:pt idx="0">
                  <c:v>June 2012</c:v>
                </c:pt>
                <c:pt idx="1">
                  <c:v>July </c:v>
                </c:pt>
                <c:pt idx="2">
                  <c:v>Aug </c:v>
                </c:pt>
                <c:pt idx="3">
                  <c:v>Sept </c:v>
                </c:pt>
                <c:pt idx="4">
                  <c:v>Oct </c:v>
                </c:pt>
                <c:pt idx="5">
                  <c:v>Nov </c:v>
                </c:pt>
                <c:pt idx="6">
                  <c:v>Dec</c:v>
                </c:pt>
                <c:pt idx="7">
                  <c:v>Jan 2013</c:v>
                </c:pt>
                <c:pt idx="8">
                  <c:v>Feb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  <c:pt idx="13">
                  <c:v>July </c:v>
                </c:pt>
                <c:pt idx="14">
                  <c:v>Aug </c:v>
                </c:pt>
                <c:pt idx="15">
                  <c:v>Sept </c:v>
                </c:pt>
                <c:pt idx="16">
                  <c:v>Oct </c:v>
                </c:pt>
                <c:pt idx="17">
                  <c:v>Nov</c:v>
                </c:pt>
              </c:strCache>
            </c:strRef>
          </c:cat>
          <c:val>
            <c:numRef>
              <c:f>'D&amp;CS P&amp;E'!$E$50:$E$67</c:f>
              <c:numCache>
                <c:formatCode>General</c:formatCode>
                <c:ptCount val="18"/>
                <c:pt idx="0">
                  <c:v>2</c:v>
                </c:pt>
                <c:pt idx="1">
                  <c:v>8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1</c:v>
                </c:pt>
                <c:pt idx="16">
                  <c:v>0</c:v>
                </c:pt>
                <c:pt idx="17">
                  <c:v>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'D&amp;CS P&amp;E'!$F$49</c:f>
              <c:strCache>
                <c:ptCount val="1"/>
                <c:pt idx="0">
                  <c:v>31-60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'D&amp;CS P&amp;E'!$A$50:$A$67</c:f>
              <c:strCache>
                <c:ptCount val="18"/>
                <c:pt idx="0">
                  <c:v>June 2012</c:v>
                </c:pt>
                <c:pt idx="1">
                  <c:v>July </c:v>
                </c:pt>
                <c:pt idx="2">
                  <c:v>Aug </c:v>
                </c:pt>
                <c:pt idx="3">
                  <c:v>Sept </c:v>
                </c:pt>
                <c:pt idx="4">
                  <c:v>Oct </c:v>
                </c:pt>
                <c:pt idx="5">
                  <c:v>Nov </c:v>
                </c:pt>
                <c:pt idx="6">
                  <c:v>Dec</c:v>
                </c:pt>
                <c:pt idx="7">
                  <c:v>Jan 2013</c:v>
                </c:pt>
                <c:pt idx="8">
                  <c:v>Feb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  <c:pt idx="13">
                  <c:v>July </c:v>
                </c:pt>
                <c:pt idx="14">
                  <c:v>Aug </c:v>
                </c:pt>
                <c:pt idx="15">
                  <c:v>Sept </c:v>
                </c:pt>
                <c:pt idx="16">
                  <c:v>Oct </c:v>
                </c:pt>
                <c:pt idx="17">
                  <c:v>Nov</c:v>
                </c:pt>
              </c:strCache>
            </c:strRef>
          </c:cat>
          <c:val>
            <c:numRef>
              <c:f>'D&amp;CS P&amp;E'!$F$50:$F$67</c:f>
              <c:numCache>
                <c:formatCode>General</c:formatCode>
                <c:ptCount val="18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7</c:v>
                </c:pt>
                <c:pt idx="7">
                  <c:v>2</c:v>
                </c:pt>
                <c:pt idx="8">
                  <c:v>6</c:v>
                </c:pt>
                <c:pt idx="9">
                  <c:v>7</c:v>
                </c:pt>
                <c:pt idx="10">
                  <c:v>1</c:v>
                </c:pt>
                <c:pt idx="11">
                  <c:v>6</c:v>
                </c:pt>
                <c:pt idx="12">
                  <c:v>14</c:v>
                </c:pt>
                <c:pt idx="13">
                  <c:v>6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'D&amp;CS P&amp;E'!$G$49</c:f>
              <c:strCache>
                <c:ptCount val="1"/>
                <c:pt idx="0">
                  <c:v>61-90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'D&amp;CS P&amp;E'!$A$50:$A$67</c:f>
              <c:strCache>
                <c:ptCount val="18"/>
                <c:pt idx="0">
                  <c:v>June 2012</c:v>
                </c:pt>
                <c:pt idx="1">
                  <c:v>July </c:v>
                </c:pt>
                <c:pt idx="2">
                  <c:v>Aug </c:v>
                </c:pt>
                <c:pt idx="3">
                  <c:v>Sept </c:v>
                </c:pt>
                <c:pt idx="4">
                  <c:v>Oct </c:v>
                </c:pt>
                <c:pt idx="5">
                  <c:v>Nov </c:v>
                </c:pt>
                <c:pt idx="6">
                  <c:v>Dec</c:v>
                </c:pt>
                <c:pt idx="7">
                  <c:v>Jan 2013</c:v>
                </c:pt>
                <c:pt idx="8">
                  <c:v>Feb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  <c:pt idx="13">
                  <c:v>July </c:v>
                </c:pt>
                <c:pt idx="14">
                  <c:v>Aug </c:v>
                </c:pt>
                <c:pt idx="15">
                  <c:v>Sept </c:v>
                </c:pt>
                <c:pt idx="16">
                  <c:v>Oct </c:v>
                </c:pt>
                <c:pt idx="17">
                  <c:v>Nov</c:v>
                </c:pt>
              </c:strCache>
            </c:strRef>
          </c:cat>
          <c:val>
            <c:numRef>
              <c:f>'D&amp;CS P&amp;E'!$G$50:$G$67</c:f>
              <c:numCache>
                <c:formatCode>General</c:formatCode>
                <c:ptCount val="18"/>
                <c:pt idx="0">
                  <c:v>6</c:v>
                </c:pt>
                <c:pt idx="1">
                  <c:v>3</c:v>
                </c:pt>
                <c:pt idx="2">
                  <c:v>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7</c:v>
                </c:pt>
                <c:pt idx="11">
                  <c:v>0</c:v>
                </c:pt>
                <c:pt idx="12">
                  <c:v>6</c:v>
                </c:pt>
                <c:pt idx="13">
                  <c:v>6</c:v>
                </c:pt>
                <c:pt idx="14">
                  <c:v>2</c:v>
                </c:pt>
                <c:pt idx="15">
                  <c:v>0</c:v>
                </c:pt>
                <c:pt idx="16">
                  <c:v>3</c:v>
                </c:pt>
                <c:pt idx="17">
                  <c:v>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'D&amp;CS P&amp;E'!$H$49</c:f>
              <c:strCache>
                <c:ptCount val="1"/>
                <c:pt idx="0">
                  <c:v>&gt;91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'D&amp;CS P&amp;E'!$A$50:$A$67</c:f>
              <c:strCache>
                <c:ptCount val="18"/>
                <c:pt idx="0">
                  <c:v>June 2012</c:v>
                </c:pt>
                <c:pt idx="1">
                  <c:v>July </c:v>
                </c:pt>
                <c:pt idx="2">
                  <c:v>Aug </c:v>
                </c:pt>
                <c:pt idx="3">
                  <c:v>Sept </c:v>
                </c:pt>
                <c:pt idx="4">
                  <c:v>Oct </c:v>
                </c:pt>
                <c:pt idx="5">
                  <c:v>Nov </c:v>
                </c:pt>
                <c:pt idx="6">
                  <c:v>Dec</c:v>
                </c:pt>
                <c:pt idx="7">
                  <c:v>Jan 2013</c:v>
                </c:pt>
                <c:pt idx="8">
                  <c:v>Feb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  <c:pt idx="13">
                  <c:v>July </c:v>
                </c:pt>
                <c:pt idx="14">
                  <c:v>Aug </c:v>
                </c:pt>
                <c:pt idx="15">
                  <c:v>Sept </c:v>
                </c:pt>
                <c:pt idx="16">
                  <c:v>Oct </c:v>
                </c:pt>
                <c:pt idx="17">
                  <c:v>Nov</c:v>
                </c:pt>
              </c:strCache>
            </c:strRef>
          </c:cat>
          <c:val>
            <c:numRef>
              <c:f>'D&amp;CS P&amp;E'!$H$50:$H$67</c:f>
              <c:numCache>
                <c:formatCode>General</c:formatCode>
                <c:ptCount val="18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1</c:v>
                </c:pt>
                <c:pt idx="16">
                  <c:v>1</c:v>
                </c:pt>
                <c:pt idx="1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510400"/>
        <c:axId val="167511936"/>
      </c:lineChart>
      <c:catAx>
        <c:axId val="167510400"/>
        <c:scaling>
          <c:orientation val="minMax"/>
        </c:scaling>
        <c:delete val="0"/>
        <c:axPos val="b"/>
        <c:majorTickMark val="none"/>
        <c:minorTickMark val="none"/>
        <c:tickLblPos val="nextTo"/>
        <c:crossAx val="167511936"/>
        <c:crosses val="autoZero"/>
        <c:auto val="1"/>
        <c:lblAlgn val="ctr"/>
        <c:lblOffset val="100"/>
        <c:noMultiLvlLbl val="0"/>
      </c:catAx>
      <c:valAx>
        <c:axId val="1675119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AxisNumber of Estimates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675104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Estimate Backlog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'D&amp;CS P&amp;E'!$B$156</c:f>
              <c:strCache>
                <c:ptCount val="1"/>
                <c:pt idx="0">
                  <c:v>Total backlog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'D&amp;CS P&amp;E'!$A$157:$A$174</c:f>
              <c:strCache>
                <c:ptCount val="18"/>
                <c:pt idx="0">
                  <c:v>June 2012</c:v>
                </c:pt>
                <c:pt idx="1">
                  <c:v>July </c:v>
                </c:pt>
                <c:pt idx="2">
                  <c:v>Aug </c:v>
                </c:pt>
                <c:pt idx="3">
                  <c:v>Sept </c:v>
                </c:pt>
                <c:pt idx="4">
                  <c:v>Oct </c:v>
                </c:pt>
                <c:pt idx="5">
                  <c:v>Nov </c:v>
                </c:pt>
                <c:pt idx="6">
                  <c:v>Dec </c:v>
                </c:pt>
                <c:pt idx="7">
                  <c:v>Jan 2013</c:v>
                </c:pt>
                <c:pt idx="8">
                  <c:v>Feb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  <c:pt idx="13">
                  <c:v>July</c:v>
                </c:pt>
                <c:pt idx="14">
                  <c:v>Aug </c:v>
                </c:pt>
                <c:pt idx="15">
                  <c:v>Sept </c:v>
                </c:pt>
                <c:pt idx="16">
                  <c:v>Oct </c:v>
                </c:pt>
                <c:pt idx="17">
                  <c:v>Nov</c:v>
                </c:pt>
              </c:strCache>
            </c:strRef>
          </c:cat>
          <c:val>
            <c:numRef>
              <c:f>'D&amp;CS P&amp;E'!$B$157:$B$174</c:f>
              <c:numCache>
                <c:formatCode>#,##0_);[Red]\(#,##0\)</c:formatCode>
                <c:ptCount val="18"/>
                <c:pt idx="0" formatCode="General">
                  <c:v>14</c:v>
                </c:pt>
                <c:pt idx="1">
                  <c:v>15</c:v>
                </c:pt>
                <c:pt idx="2" formatCode="General">
                  <c:v>14</c:v>
                </c:pt>
                <c:pt idx="3" formatCode="General">
                  <c:v>7</c:v>
                </c:pt>
                <c:pt idx="4" formatCode="General">
                  <c:v>6</c:v>
                </c:pt>
                <c:pt idx="5" formatCode="General">
                  <c:v>5</c:v>
                </c:pt>
                <c:pt idx="6" formatCode="General">
                  <c:v>10</c:v>
                </c:pt>
                <c:pt idx="7" formatCode="General">
                  <c:v>12</c:v>
                </c:pt>
                <c:pt idx="8" formatCode="General">
                  <c:v>4</c:v>
                </c:pt>
                <c:pt idx="9" formatCode="General">
                  <c:v>7</c:v>
                </c:pt>
                <c:pt idx="10" formatCode="General">
                  <c:v>7</c:v>
                </c:pt>
                <c:pt idx="11" formatCode="General">
                  <c:v>6</c:v>
                </c:pt>
                <c:pt idx="12" formatCode="General">
                  <c:v>3</c:v>
                </c:pt>
                <c:pt idx="13" formatCode="General">
                  <c:v>2</c:v>
                </c:pt>
                <c:pt idx="14" formatCode="General">
                  <c:v>3</c:v>
                </c:pt>
                <c:pt idx="15" formatCode="General">
                  <c:v>1</c:v>
                </c:pt>
                <c:pt idx="16" formatCode="General">
                  <c:v>1</c:v>
                </c:pt>
                <c:pt idx="17" formatCode="General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 P&amp;E'!$C$156</c:f>
              <c:strCache>
                <c:ptCount val="1"/>
                <c:pt idx="0">
                  <c:v> 1-10 days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'D&amp;CS P&amp;E'!$A$157:$A$174</c:f>
              <c:strCache>
                <c:ptCount val="18"/>
                <c:pt idx="0">
                  <c:v>June 2012</c:v>
                </c:pt>
                <c:pt idx="1">
                  <c:v>July </c:v>
                </c:pt>
                <c:pt idx="2">
                  <c:v>Aug </c:v>
                </c:pt>
                <c:pt idx="3">
                  <c:v>Sept </c:v>
                </c:pt>
                <c:pt idx="4">
                  <c:v>Oct </c:v>
                </c:pt>
                <c:pt idx="5">
                  <c:v>Nov </c:v>
                </c:pt>
                <c:pt idx="6">
                  <c:v>Dec </c:v>
                </c:pt>
                <c:pt idx="7">
                  <c:v>Jan 2013</c:v>
                </c:pt>
                <c:pt idx="8">
                  <c:v>Feb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  <c:pt idx="13">
                  <c:v>July</c:v>
                </c:pt>
                <c:pt idx="14">
                  <c:v>Aug </c:v>
                </c:pt>
                <c:pt idx="15">
                  <c:v>Sept </c:v>
                </c:pt>
                <c:pt idx="16">
                  <c:v>Oct </c:v>
                </c:pt>
                <c:pt idx="17">
                  <c:v>Nov</c:v>
                </c:pt>
              </c:strCache>
            </c:strRef>
          </c:cat>
          <c:val>
            <c:numRef>
              <c:f>'D&amp;CS P&amp;E'!$C$157:$C$174</c:f>
              <c:numCache>
                <c:formatCode>#,##0_);[Red]\(#,##0\)</c:formatCode>
                <c:ptCount val="18"/>
                <c:pt idx="0" formatCode="General">
                  <c:v>3</c:v>
                </c:pt>
                <c:pt idx="1">
                  <c:v>4</c:v>
                </c:pt>
                <c:pt idx="2">
                  <c:v>1</c:v>
                </c:pt>
                <c:pt idx="3">
                  <c:v>0</c:v>
                </c:pt>
                <c:pt idx="4" formatCode="General">
                  <c:v>1</c:v>
                </c:pt>
                <c:pt idx="5" formatCode="General">
                  <c:v>0</c:v>
                </c:pt>
                <c:pt idx="6" formatCode="General">
                  <c:v>2</c:v>
                </c:pt>
                <c:pt idx="7" formatCode="General">
                  <c:v>2</c:v>
                </c:pt>
                <c:pt idx="8" formatCode="General">
                  <c:v>2</c:v>
                </c:pt>
                <c:pt idx="9" formatCode="General">
                  <c:v>2</c:v>
                </c:pt>
                <c:pt idx="10" formatCode="General">
                  <c:v>3</c:v>
                </c:pt>
                <c:pt idx="11" formatCode="General">
                  <c:v>1</c:v>
                </c:pt>
                <c:pt idx="12" formatCode="General">
                  <c:v>0</c:v>
                </c:pt>
                <c:pt idx="13" formatCode="General">
                  <c:v>1</c:v>
                </c:pt>
                <c:pt idx="14" formatCode="General">
                  <c:v>1</c:v>
                </c:pt>
                <c:pt idx="15" formatCode="General">
                  <c:v>0</c:v>
                </c:pt>
                <c:pt idx="16" formatCode="General">
                  <c:v>0</c:v>
                </c:pt>
                <c:pt idx="17" formatCode="General">
                  <c:v>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'D&amp;CS P&amp;E'!$D$156</c:f>
              <c:strCache>
                <c:ptCount val="1"/>
                <c:pt idx="0">
                  <c:v>11-20 days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'D&amp;CS P&amp;E'!$A$157:$A$174</c:f>
              <c:strCache>
                <c:ptCount val="18"/>
                <c:pt idx="0">
                  <c:v>June 2012</c:v>
                </c:pt>
                <c:pt idx="1">
                  <c:v>July </c:v>
                </c:pt>
                <c:pt idx="2">
                  <c:v>Aug </c:v>
                </c:pt>
                <c:pt idx="3">
                  <c:v>Sept </c:v>
                </c:pt>
                <c:pt idx="4">
                  <c:v>Oct </c:v>
                </c:pt>
                <c:pt idx="5">
                  <c:v>Nov </c:v>
                </c:pt>
                <c:pt idx="6">
                  <c:v>Dec </c:v>
                </c:pt>
                <c:pt idx="7">
                  <c:v>Jan 2013</c:v>
                </c:pt>
                <c:pt idx="8">
                  <c:v>Feb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  <c:pt idx="13">
                  <c:v>July</c:v>
                </c:pt>
                <c:pt idx="14">
                  <c:v>Aug </c:v>
                </c:pt>
                <c:pt idx="15">
                  <c:v>Sept </c:v>
                </c:pt>
                <c:pt idx="16">
                  <c:v>Oct </c:v>
                </c:pt>
                <c:pt idx="17">
                  <c:v>Nov</c:v>
                </c:pt>
              </c:strCache>
            </c:strRef>
          </c:cat>
          <c:val>
            <c:numRef>
              <c:f>'D&amp;CS P&amp;E'!$D$157:$D$174</c:f>
              <c:numCache>
                <c:formatCode>General</c:formatCode>
                <c:ptCount val="18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'D&amp;CS P&amp;E'!$E$156</c:f>
              <c:strCache>
                <c:ptCount val="1"/>
                <c:pt idx="0">
                  <c:v>21-30 days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'D&amp;CS P&amp;E'!$A$157:$A$174</c:f>
              <c:strCache>
                <c:ptCount val="18"/>
                <c:pt idx="0">
                  <c:v>June 2012</c:v>
                </c:pt>
                <c:pt idx="1">
                  <c:v>July </c:v>
                </c:pt>
                <c:pt idx="2">
                  <c:v>Aug </c:v>
                </c:pt>
                <c:pt idx="3">
                  <c:v>Sept </c:v>
                </c:pt>
                <c:pt idx="4">
                  <c:v>Oct </c:v>
                </c:pt>
                <c:pt idx="5">
                  <c:v>Nov </c:v>
                </c:pt>
                <c:pt idx="6">
                  <c:v>Dec </c:v>
                </c:pt>
                <c:pt idx="7">
                  <c:v>Jan 2013</c:v>
                </c:pt>
                <c:pt idx="8">
                  <c:v>Feb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  <c:pt idx="13">
                  <c:v>July</c:v>
                </c:pt>
                <c:pt idx="14">
                  <c:v>Aug </c:v>
                </c:pt>
                <c:pt idx="15">
                  <c:v>Sept </c:v>
                </c:pt>
                <c:pt idx="16">
                  <c:v>Oct </c:v>
                </c:pt>
                <c:pt idx="17">
                  <c:v>Nov</c:v>
                </c:pt>
              </c:strCache>
            </c:strRef>
          </c:cat>
          <c:val>
            <c:numRef>
              <c:f>'D&amp;CS P&amp;E'!$E$157:$E$174</c:f>
              <c:numCache>
                <c:formatCode>General</c:formatCode>
                <c:ptCount val="18"/>
                <c:pt idx="0">
                  <c:v>1</c:v>
                </c:pt>
                <c:pt idx="1">
                  <c:v>5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'D&amp;CS P&amp;E'!$F$156</c:f>
              <c:strCache>
                <c:ptCount val="1"/>
                <c:pt idx="0">
                  <c:v>31-60 days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'D&amp;CS P&amp;E'!$A$157:$A$174</c:f>
              <c:strCache>
                <c:ptCount val="18"/>
                <c:pt idx="0">
                  <c:v>June 2012</c:v>
                </c:pt>
                <c:pt idx="1">
                  <c:v>July </c:v>
                </c:pt>
                <c:pt idx="2">
                  <c:v>Aug </c:v>
                </c:pt>
                <c:pt idx="3">
                  <c:v>Sept </c:v>
                </c:pt>
                <c:pt idx="4">
                  <c:v>Oct </c:v>
                </c:pt>
                <c:pt idx="5">
                  <c:v>Nov </c:v>
                </c:pt>
                <c:pt idx="6">
                  <c:v>Dec </c:v>
                </c:pt>
                <c:pt idx="7">
                  <c:v>Jan 2013</c:v>
                </c:pt>
                <c:pt idx="8">
                  <c:v>Feb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  <c:pt idx="13">
                  <c:v>July</c:v>
                </c:pt>
                <c:pt idx="14">
                  <c:v>Aug </c:v>
                </c:pt>
                <c:pt idx="15">
                  <c:v>Sept </c:v>
                </c:pt>
                <c:pt idx="16">
                  <c:v>Oct </c:v>
                </c:pt>
                <c:pt idx="17">
                  <c:v>Nov</c:v>
                </c:pt>
              </c:strCache>
            </c:strRef>
          </c:cat>
          <c:val>
            <c:numRef>
              <c:f>'D&amp;CS P&amp;E'!$F$157:$F$174</c:f>
              <c:numCache>
                <c:formatCode>General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9</c:v>
                </c:pt>
                <c:pt idx="3">
                  <c:v>5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6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'D&amp;CS P&amp;E'!$G$156</c:f>
              <c:strCache>
                <c:ptCount val="1"/>
                <c:pt idx="0">
                  <c:v>61-90 days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'D&amp;CS P&amp;E'!$A$157:$A$174</c:f>
              <c:strCache>
                <c:ptCount val="18"/>
                <c:pt idx="0">
                  <c:v>June 2012</c:v>
                </c:pt>
                <c:pt idx="1">
                  <c:v>July </c:v>
                </c:pt>
                <c:pt idx="2">
                  <c:v>Aug </c:v>
                </c:pt>
                <c:pt idx="3">
                  <c:v>Sept </c:v>
                </c:pt>
                <c:pt idx="4">
                  <c:v>Oct </c:v>
                </c:pt>
                <c:pt idx="5">
                  <c:v>Nov </c:v>
                </c:pt>
                <c:pt idx="6">
                  <c:v>Dec </c:v>
                </c:pt>
                <c:pt idx="7">
                  <c:v>Jan 2013</c:v>
                </c:pt>
                <c:pt idx="8">
                  <c:v>Feb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  <c:pt idx="13">
                  <c:v>July</c:v>
                </c:pt>
                <c:pt idx="14">
                  <c:v>Aug </c:v>
                </c:pt>
                <c:pt idx="15">
                  <c:v>Sept </c:v>
                </c:pt>
                <c:pt idx="16">
                  <c:v>Oct </c:v>
                </c:pt>
                <c:pt idx="17">
                  <c:v>Nov</c:v>
                </c:pt>
              </c:strCache>
            </c:strRef>
          </c:cat>
          <c:val>
            <c:numRef>
              <c:f>'D&amp;CS P&amp;E'!$G$157:$G$174</c:f>
              <c:numCache>
                <c:formatCode>General</c:formatCode>
                <c:ptCount val="18"/>
                <c:pt idx="0">
                  <c:v>3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'D&amp;CS P&amp;E'!$H$156</c:f>
              <c:strCache>
                <c:ptCount val="1"/>
                <c:pt idx="0">
                  <c:v>&gt;91</c:v>
                </c:pt>
              </c:strCache>
            </c:strRef>
          </c:tx>
          <c:marker>
            <c:symbol val="none"/>
          </c:marker>
          <c:cat>
            <c:strRef>
              <c:f>'D&amp;CS P&amp;E'!$A$157:$A$174</c:f>
              <c:strCache>
                <c:ptCount val="18"/>
                <c:pt idx="0">
                  <c:v>June 2012</c:v>
                </c:pt>
                <c:pt idx="1">
                  <c:v>July </c:v>
                </c:pt>
                <c:pt idx="2">
                  <c:v>Aug </c:v>
                </c:pt>
                <c:pt idx="3">
                  <c:v>Sept </c:v>
                </c:pt>
                <c:pt idx="4">
                  <c:v>Oct </c:v>
                </c:pt>
                <c:pt idx="5">
                  <c:v>Nov </c:v>
                </c:pt>
                <c:pt idx="6">
                  <c:v>Dec </c:v>
                </c:pt>
                <c:pt idx="7">
                  <c:v>Jan 2013</c:v>
                </c:pt>
                <c:pt idx="8">
                  <c:v>Feb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  <c:pt idx="12">
                  <c:v>June  </c:v>
                </c:pt>
                <c:pt idx="13">
                  <c:v>July</c:v>
                </c:pt>
                <c:pt idx="14">
                  <c:v>Aug </c:v>
                </c:pt>
                <c:pt idx="15">
                  <c:v>Sept </c:v>
                </c:pt>
                <c:pt idx="16">
                  <c:v>Oct </c:v>
                </c:pt>
                <c:pt idx="17">
                  <c:v>Nov</c:v>
                </c:pt>
              </c:strCache>
            </c:strRef>
          </c:cat>
          <c:val>
            <c:numRef>
              <c:f>'D&amp;CS P&amp;E'!$H$157:$H$174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574144"/>
        <c:axId val="169943424"/>
      </c:lineChart>
      <c:catAx>
        <c:axId val="167574144"/>
        <c:scaling>
          <c:orientation val="minMax"/>
        </c:scaling>
        <c:delete val="0"/>
        <c:axPos val="b"/>
        <c:majorTickMark val="none"/>
        <c:minorTickMark val="none"/>
        <c:tickLblPos val="nextTo"/>
        <c:crossAx val="169943424"/>
        <c:crosses val="autoZero"/>
        <c:auto val="1"/>
        <c:lblAlgn val="ctr"/>
        <c:lblOffset val="100"/>
        <c:noMultiLvlLbl val="0"/>
      </c:catAx>
      <c:valAx>
        <c:axId val="1699434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Estimates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6757414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Plant Fund</a:t>
            </a:r>
            <a:r>
              <a:rPr lang="en-US" baseline="0"/>
              <a:t> Closure</a:t>
            </a:r>
            <a:endParaRPr lang="en-US"/>
          </a:p>
        </c:rich>
      </c:tx>
      <c:layout>
        <c:manualLayout>
          <c:xMode val="edge"/>
          <c:yMode val="edge"/>
          <c:x val="0.28958373666448617"/>
          <c:y val="2.293190101178197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6521265608382"/>
          <c:y val="0.18985922878892419"/>
          <c:w val="0.85755168111267366"/>
          <c:h val="0.61743819276226652"/>
        </c:manualLayout>
      </c:layout>
      <c:lineChart>
        <c:grouping val="standard"/>
        <c:varyColors val="0"/>
        <c:ser>
          <c:idx val="0"/>
          <c:order val="0"/>
          <c:tx>
            <c:strRef>
              <c:f>'D&amp;CS Admin'!$C$48</c:f>
              <c:strCache>
                <c:ptCount val="1"/>
                <c:pt idx="0">
                  <c:v>Goal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Admin'!$A$56:$A$70</c:f>
              <c:numCache>
                <c:formatCode>mmm\-yy</c:formatCode>
                <c:ptCount val="15"/>
                <c:pt idx="0">
                  <c:v>41426</c:v>
                </c:pt>
                <c:pt idx="1">
                  <c:v>41456</c:v>
                </c:pt>
                <c:pt idx="2">
                  <c:v>41487</c:v>
                </c:pt>
                <c:pt idx="3">
                  <c:v>41518</c:v>
                </c:pt>
                <c:pt idx="4">
                  <c:v>41548</c:v>
                </c:pt>
                <c:pt idx="5">
                  <c:v>41579</c:v>
                </c:pt>
                <c:pt idx="6">
                  <c:v>41609</c:v>
                </c:pt>
                <c:pt idx="7">
                  <c:v>41640</c:v>
                </c:pt>
                <c:pt idx="8">
                  <c:v>41671</c:v>
                </c:pt>
                <c:pt idx="9">
                  <c:v>41699</c:v>
                </c:pt>
                <c:pt idx="10">
                  <c:v>41730</c:v>
                </c:pt>
                <c:pt idx="11">
                  <c:v>41760</c:v>
                </c:pt>
                <c:pt idx="12">
                  <c:v>41791</c:v>
                </c:pt>
                <c:pt idx="13">
                  <c:v>41821</c:v>
                </c:pt>
                <c:pt idx="14">
                  <c:v>41852</c:v>
                </c:pt>
              </c:numCache>
            </c:numRef>
          </c:cat>
          <c:val>
            <c:numRef>
              <c:f>'D&amp;CS Admin'!$C$54:$C$68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 Admin'!$B$48</c:f>
              <c:strCache>
                <c:ptCount val="1"/>
                <c:pt idx="0">
                  <c:v>% in 30 days or less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Admin'!$A$56:$A$70</c:f>
              <c:numCache>
                <c:formatCode>mmm\-yy</c:formatCode>
                <c:ptCount val="15"/>
                <c:pt idx="0">
                  <c:v>41426</c:v>
                </c:pt>
                <c:pt idx="1">
                  <c:v>41456</c:v>
                </c:pt>
                <c:pt idx="2">
                  <c:v>41487</c:v>
                </c:pt>
                <c:pt idx="3">
                  <c:v>41518</c:v>
                </c:pt>
                <c:pt idx="4">
                  <c:v>41548</c:v>
                </c:pt>
                <c:pt idx="5">
                  <c:v>41579</c:v>
                </c:pt>
                <c:pt idx="6">
                  <c:v>41609</c:v>
                </c:pt>
                <c:pt idx="7">
                  <c:v>41640</c:v>
                </c:pt>
                <c:pt idx="8">
                  <c:v>41671</c:v>
                </c:pt>
                <c:pt idx="9">
                  <c:v>41699</c:v>
                </c:pt>
                <c:pt idx="10">
                  <c:v>41730</c:v>
                </c:pt>
                <c:pt idx="11">
                  <c:v>41760</c:v>
                </c:pt>
                <c:pt idx="12">
                  <c:v>41791</c:v>
                </c:pt>
                <c:pt idx="13">
                  <c:v>41821</c:v>
                </c:pt>
                <c:pt idx="14">
                  <c:v>41852</c:v>
                </c:pt>
              </c:numCache>
            </c:numRef>
          </c:cat>
          <c:val>
            <c:numRef>
              <c:f>'D&amp;CS Admin'!$B$56:$B$70</c:f>
              <c:numCache>
                <c:formatCode>0%</c:formatCode>
                <c:ptCount val="15"/>
                <c:pt idx="0">
                  <c:v>1</c:v>
                </c:pt>
                <c:pt idx="2">
                  <c:v>1</c:v>
                </c:pt>
                <c:pt idx="3">
                  <c:v>0.65</c:v>
                </c:pt>
                <c:pt idx="4">
                  <c:v>0</c:v>
                </c:pt>
                <c:pt idx="5">
                  <c:v>0.4</c:v>
                </c:pt>
                <c:pt idx="7">
                  <c:v>0.875</c:v>
                </c:pt>
                <c:pt idx="8">
                  <c:v>1</c:v>
                </c:pt>
                <c:pt idx="9">
                  <c:v>1</c:v>
                </c:pt>
                <c:pt idx="10">
                  <c:v>0.875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996672"/>
        <c:axId val="169998208"/>
      </c:lineChart>
      <c:dateAx>
        <c:axId val="16999667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69998208"/>
        <c:crosses val="autoZero"/>
        <c:auto val="1"/>
        <c:lblOffset val="100"/>
        <c:baseTimeUnit val="months"/>
      </c:dateAx>
      <c:valAx>
        <c:axId val="169998208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1699966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27420434668029"/>
          <c:y val="0.41055795407857426"/>
          <c:w val="0.29371882267956301"/>
          <c:h val="0.1611397585847111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landscape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 Closure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094619955058474"/>
          <c:y val="0.10063163371830718"/>
          <c:w val="0.82864972481645416"/>
          <c:h val="0.73588818963501579"/>
        </c:manualLayout>
      </c:layout>
      <c:lineChart>
        <c:grouping val="standard"/>
        <c:varyColors val="0"/>
        <c:ser>
          <c:idx val="0"/>
          <c:order val="0"/>
          <c:tx>
            <c:strRef>
              <c:f>'D&amp;CS Admin'!$C$48</c:f>
              <c:strCache>
                <c:ptCount val="1"/>
                <c:pt idx="0">
                  <c:v>Goal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Admin'!$A$97:$A$111</c:f>
              <c:numCache>
                <c:formatCode>mmm\-yy</c:formatCode>
                <c:ptCount val="15"/>
                <c:pt idx="0">
                  <c:v>41426</c:v>
                </c:pt>
                <c:pt idx="1">
                  <c:v>41456</c:v>
                </c:pt>
                <c:pt idx="2">
                  <c:v>41487</c:v>
                </c:pt>
                <c:pt idx="3">
                  <c:v>41518</c:v>
                </c:pt>
                <c:pt idx="4">
                  <c:v>41548</c:v>
                </c:pt>
                <c:pt idx="5">
                  <c:v>41579</c:v>
                </c:pt>
                <c:pt idx="6">
                  <c:v>41609</c:v>
                </c:pt>
                <c:pt idx="7">
                  <c:v>41640</c:v>
                </c:pt>
                <c:pt idx="8">
                  <c:v>41671</c:v>
                </c:pt>
                <c:pt idx="9">
                  <c:v>41699</c:v>
                </c:pt>
                <c:pt idx="10">
                  <c:v>41730</c:v>
                </c:pt>
                <c:pt idx="11">
                  <c:v>41760</c:v>
                </c:pt>
                <c:pt idx="12">
                  <c:v>41791</c:v>
                </c:pt>
                <c:pt idx="13">
                  <c:v>41821</c:v>
                </c:pt>
                <c:pt idx="14">
                  <c:v>41852</c:v>
                </c:pt>
              </c:numCache>
            </c:numRef>
          </c:cat>
          <c:val>
            <c:numRef>
              <c:f>'D&amp;CS Admin'!$C$95:$C$110</c:f>
              <c:numCache>
                <c:formatCode>0%</c:formatCode>
                <c:ptCount val="16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 Admin'!$B$89</c:f>
              <c:strCache>
                <c:ptCount val="1"/>
                <c:pt idx="0">
                  <c:v>% in 180 days or less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Admin'!$A$97:$A$111</c:f>
              <c:numCache>
                <c:formatCode>mmm\-yy</c:formatCode>
                <c:ptCount val="15"/>
                <c:pt idx="0">
                  <c:v>41426</c:v>
                </c:pt>
                <c:pt idx="1">
                  <c:v>41456</c:v>
                </c:pt>
                <c:pt idx="2">
                  <c:v>41487</c:v>
                </c:pt>
                <c:pt idx="3">
                  <c:v>41518</c:v>
                </c:pt>
                <c:pt idx="4">
                  <c:v>41548</c:v>
                </c:pt>
                <c:pt idx="5">
                  <c:v>41579</c:v>
                </c:pt>
                <c:pt idx="6">
                  <c:v>41609</c:v>
                </c:pt>
                <c:pt idx="7">
                  <c:v>41640</c:v>
                </c:pt>
                <c:pt idx="8">
                  <c:v>41671</c:v>
                </c:pt>
                <c:pt idx="9">
                  <c:v>41699</c:v>
                </c:pt>
                <c:pt idx="10">
                  <c:v>41730</c:v>
                </c:pt>
                <c:pt idx="11">
                  <c:v>41760</c:v>
                </c:pt>
                <c:pt idx="12">
                  <c:v>41791</c:v>
                </c:pt>
                <c:pt idx="13">
                  <c:v>41821</c:v>
                </c:pt>
                <c:pt idx="14">
                  <c:v>41852</c:v>
                </c:pt>
              </c:numCache>
            </c:numRef>
          </c:cat>
          <c:val>
            <c:numRef>
              <c:f>'D&amp;CS Admin'!$B$97:$B$111</c:f>
              <c:numCache>
                <c:formatCode>0%</c:formatCode>
                <c:ptCount val="15"/>
                <c:pt idx="0">
                  <c:v>6.6666666666666666E-2</c:v>
                </c:pt>
                <c:pt idx="2">
                  <c:v>0.2</c:v>
                </c:pt>
                <c:pt idx="3">
                  <c:v>0.2</c:v>
                </c:pt>
                <c:pt idx="4">
                  <c:v>0</c:v>
                </c:pt>
                <c:pt idx="5">
                  <c:v>0</c:v>
                </c:pt>
                <c:pt idx="7">
                  <c:v>0.25</c:v>
                </c:pt>
                <c:pt idx="8">
                  <c:v>8.3333333333333329E-2</c:v>
                </c:pt>
                <c:pt idx="9">
                  <c:v>0</c:v>
                </c:pt>
                <c:pt idx="10">
                  <c:v>0</c:v>
                </c:pt>
                <c:pt idx="11">
                  <c:v>0.22222222222222221</c:v>
                </c:pt>
                <c:pt idx="12">
                  <c:v>0</c:v>
                </c:pt>
                <c:pt idx="13">
                  <c:v>0</c:v>
                </c:pt>
                <c:pt idx="14">
                  <c:v>0.33333333333333331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560128"/>
        <c:axId val="150582400"/>
      </c:lineChart>
      <c:dateAx>
        <c:axId val="15056012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50582400"/>
        <c:crosses val="autoZero"/>
        <c:auto val="1"/>
        <c:lblOffset val="100"/>
        <c:baseTimeUnit val="months"/>
      </c:dateAx>
      <c:valAx>
        <c:axId val="150582400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150560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054522646660341"/>
          <c:y val="0.23632389384670005"/>
          <c:w val="0.3119775266410299"/>
          <c:h val="0.1627441573378479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age (days)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656064291344829"/>
          <c:y val="0.18245008941807578"/>
          <c:w val="0.77706085804694969"/>
          <c:h val="0.587020165946286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'D&amp;CS Admin'!$G$89</c:f>
              <c:strCache>
                <c:ptCount val="1"/>
                <c:pt idx="0">
                  <c:v>Average age (days)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Admin'!$A$97:$A$111</c:f>
              <c:numCache>
                <c:formatCode>mmm\-yy</c:formatCode>
                <c:ptCount val="15"/>
                <c:pt idx="0">
                  <c:v>41426</c:v>
                </c:pt>
                <c:pt idx="1">
                  <c:v>41456</c:v>
                </c:pt>
                <c:pt idx="2">
                  <c:v>41487</c:v>
                </c:pt>
                <c:pt idx="3">
                  <c:v>41518</c:v>
                </c:pt>
                <c:pt idx="4">
                  <c:v>41548</c:v>
                </c:pt>
                <c:pt idx="5">
                  <c:v>41579</c:v>
                </c:pt>
                <c:pt idx="6">
                  <c:v>41609</c:v>
                </c:pt>
                <c:pt idx="7">
                  <c:v>41640</c:v>
                </c:pt>
                <c:pt idx="8">
                  <c:v>41671</c:v>
                </c:pt>
                <c:pt idx="9">
                  <c:v>41699</c:v>
                </c:pt>
                <c:pt idx="10">
                  <c:v>41730</c:v>
                </c:pt>
                <c:pt idx="11">
                  <c:v>41760</c:v>
                </c:pt>
                <c:pt idx="12">
                  <c:v>41791</c:v>
                </c:pt>
                <c:pt idx="13">
                  <c:v>41821</c:v>
                </c:pt>
                <c:pt idx="14">
                  <c:v>41852</c:v>
                </c:pt>
              </c:numCache>
            </c:numRef>
          </c:cat>
          <c:val>
            <c:numRef>
              <c:f>'D&amp;CS Admin'!$G$97:$G$111</c:f>
              <c:numCache>
                <c:formatCode>0</c:formatCode>
                <c:ptCount val="15"/>
                <c:pt idx="0">
                  <c:v>315.2</c:v>
                </c:pt>
                <c:pt idx="2">
                  <c:v>214.8</c:v>
                </c:pt>
                <c:pt idx="3">
                  <c:v>231.9</c:v>
                </c:pt>
                <c:pt idx="4">
                  <c:v>511.5</c:v>
                </c:pt>
                <c:pt idx="5">
                  <c:v>440.1</c:v>
                </c:pt>
                <c:pt idx="7">
                  <c:v>309.10000000000002</c:v>
                </c:pt>
                <c:pt idx="8">
                  <c:v>395.6</c:v>
                </c:pt>
                <c:pt idx="9">
                  <c:v>317.10000000000002</c:v>
                </c:pt>
                <c:pt idx="10">
                  <c:v>278.60000000000002</c:v>
                </c:pt>
                <c:pt idx="11">
                  <c:v>264.39999999999998</c:v>
                </c:pt>
                <c:pt idx="12">
                  <c:v>245</c:v>
                </c:pt>
                <c:pt idx="13">
                  <c:v>288.7</c:v>
                </c:pt>
                <c:pt idx="14">
                  <c:v>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872384"/>
        <c:axId val="169878272"/>
      </c:barChart>
      <c:lineChart>
        <c:grouping val="standard"/>
        <c:varyColors val="0"/>
        <c:ser>
          <c:idx val="1"/>
          <c:order val="1"/>
          <c:tx>
            <c:strRef>
              <c:f>'D&amp;CS Admin'!$H$89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dLbls>
            <c:dLbl>
              <c:idx val="10"/>
              <c:layout>
                <c:manualLayout>
                  <c:x val="4.71976401179941E-3"/>
                  <c:y val="7.269639842807536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Admin'!$A$95:$A$111</c:f>
              <c:numCache>
                <c:formatCode>mmm\-yy</c:formatCode>
                <c:ptCount val="17"/>
                <c:pt idx="0">
                  <c:v>41365</c:v>
                </c:pt>
                <c:pt idx="1">
                  <c:v>41395</c:v>
                </c:pt>
                <c:pt idx="2">
                  <c:v>41426</c:v>
                </c:pt>
                <c:pt idx="3">
                  <c:v>41456</c:v>
                </c:pt>
                <c:pt idx="4">
                  <c:v>41487</c:v>
                </c:pt>
                <c:pt idx="5">
                  <c:v>41518</c:v>
                </c:pt>
                <c:pt idx="6">
                  <c:v>41548</c:v>
                </c:pt>
                <c:pt idx="7">
                  <c:v>41579</c:v>
                </c:pt>
                <c:pt idx="8">
                  <c:v>41609</c:v>
                </c:pt>
                <c:pt idx="9">
                  <c:v>41640</c:v>
                </c:pt>
                <c:pt idx="10">
                  <c:v>41671</c:v>
                </c:pt>
                <c:pt idx="11">
                  <c:v>41699</c:v>
                </c:pt>
                <c:pt idx="12">
                  <c:v>41730</c:v>
                </c:pt>
                <c:pt idx="13">
                  <c:v>41760</c:v>
                </c:pt>
                <c:pt idx="14">
                  <c:v>41791</c:v>
                </c:pt>
                <c:pt idx="15">
                  <c:v>41821</c:v>
                </c:pt>
                <c:pt idx="16">
                  <c:v>41852</c:v>
                </c:pt>
              </c:numCache>
            </c:numRef>
          </c:cat>
          <c:val>
            <c:numRef>
              <c:f>'D&amp;CS Admin'!$H$95:$H$111</c:f>
              <c:numCache>
                <c:formatCode>General</c:formatCode>
                <c:ptCount val="17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120</c:v>
                </c:pt>
                <c:pt idx="8">
                  <c:v>120</c:v>
                </c:pt>
                <c:pt idx="9">
                  <c:v>180</c:v>
                </c:pt>
                <c:pt idx="10">
                  <c:v>180</c:v>
                </c:pt>
                <c:pt idx="11">
                  <c:v>180</c:v>
                </c:pt>
                <c:pt idx="12">
                  <c:v>180</c:v>
                </c:pt>
                <c:pt idx="13">
                  <c:v>180</c:v>
                </c:pt>
                <c:pt idx="14">
                  <c:v>180</c:v>
                </c:pt>
                <c:pt idx="15">
                  <c:v>180</c:v>
                </c:pt>
                <c:pt idx="16">
                  <c:v>180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872384"/>
        <c:axId val="169878272"/>
      </c:lineChart>
      <c:dateAx>
        <c:axId val="16987238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69878272"/>
        <c:crosses val="autoZero"/>
        <c:auto val="1"/>
        <c:lblOffset val="100"/>
        <c:baseTimeUnit val="months"/>
      </c:dateAx>
      <c:valAx>
        <c:axId val="169878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crossAx val="169872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064714106998306"/>
          <c:y val="7.7980709238278892E-2"/>
          <c:w val="0.2519419320372564"/>
          <c:h val="0.1434084940556347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age (days)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11138666862035"/>
          <c:y val="0.18412675332765732"/>
          <c:w val="0.84608833590293975"/>
          <c:h val="0.634383602956581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'D&amp;CS Admin'!$G$48</c:f>
              <c:strCache>
                <c:ptCount val="1"/>
                <c:pt idx="0">
                  <c:v>Average age (days)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Admin'!$A$56:$A$70</c:f>
              <c:numCache>
                <c:formatCode>mmm\-yy</c:formatCode>
                <c:ptCount val="15"/>
                <c:pt idx="0">
                  <c:v>41426</c:v>
                </c:pt>
                <c:pt idx="1">
                  <c:v>41456</c:v>
                </c:pt>
                <c:pt idx="2">
                  <c:v>41487</c:v>
                </c:pt>
                <c:pt idx="3">
                  <c:v>41518</c:v>
                </c:pt>
                <c:pt idx="4">
                  <c:v>41548</c:v>
                </c:pt>
                <c:pt idx="5">
                  <c:v>41579</c:v>
                </c:pt>
                <c:pt idx="6">
                  <c:v>41609</c:v>
                </c:pt>
                <c:pt idx="7">
                  <c:v>41640</c:v>
                </c:pt>
                <c:pt idx="8">
                  <c:v>41671</c:v>
                </c:pt>
                <c:pt idx="9">
                  <c:v>41699</c:v>
                </c:pt>
                <c:pt idx="10">
                  <c:v>41730</c:v>
                </c:pt>
                <c:pt idx="11">
                  <c:v>41760</c:v>
                </c:pt>
                <c:pt idx="12">
                  <c:v>41791</c:v>
                </c:pt>
                <c:pt idx="13">
                  <c:v>41821</c:v>
                </c:pt>
                <c:pt idx="14">
                  <c:v>41852</c:v>
                </c:pt>
              </c:numCache>
            </c:numRef>
          </c:cat>
          <c:val>
            <c:numRef>
              <c:f>'D&amp;CS Admin'!$G$56:$G$70</c:f>
              <c:numCache>
                <c:formatCode>0</c:formatCode>
                <c:ptCount val="15"/>
                <c:pt idx="0">
                  <c:v>5.6</c:v>
                </c:pt>
                <c:pt idx="2">
                  <c:v>10.4</c:v>
                </c:pt>
                <c:pt idx="3">
                  <c:v>28.4</c:v>
                </c:pt>
                <c:pt idx="4">
                  <c:v>59.5</c:v>
                </c:pt>
                <c:pt idx="5">
                  <c:v>101.6</c:v>
                </c:pt>
                <c:pt idx="7">
                  <c:v>11.25</c:v>
                </c:pt>
                <c:pt idx="8">
                  <c:v>5.66</c:v>
                </c:pt>
                <c:pt idx="9">
                  <c:v>6.8</c:v>
                </c:pt>
                <c:pt idx="10">
                  <c:v>20.63</c:v>
                </c:pt>
                <c:pt idx="11">
                  <c:v>11.78</c:v>
                </c:pt>
                <c:pt idx="12">
                  <c:v>2</c:v>
                </c:pt>
                <c:pt idx="13">
                  <c:v>16.329999999999998</c:v>
                </c:pt>
                <c:pt idx="14">
                  <c:v>6.8890000000000002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933824"/>
        <c:axId val="170263296"/>
      </c:barChart>
      <c:lineChart>
        <c:grouping val="standard"/>
        <c:varyColors val="0"/>
        <c:ser>
          <c:idx val="1"/>
          <c:order val="1"/>
          <c:tx>
            <c:strRef>
              <c:f>'D&amp;CS Admin'!$H$48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Admin'!$A$54:$A$69</c:f>
              <c:numCache>
                <c:formatCode>mmm\-yy</c:formatCode>
                <c:ptCount val="16"/>
                <c:pt idx="0">
                  <c:v>41365</c:v>
                </c:pt>
                <c:pt idx="1">
                  <c:v>41395</c:v>
                </c:pt>
                <c:pt idx="2">
                  <c:v>41426</c:v>
                </c:pt>
                <c:pt idx="3">
                  <c:v>41456</c:v>
                </c:pt>
                <c:pt idx="4">
                  <c:v>41487</c:v>
                </c:pt>
                <c:pt idx="5">
                  <c:v>41518</c:v>
                </c:pt>
                <c:pt idx="6">
                  <c:v>41548</c:v>
                </c:pt>
                <c:pt idx="7">
                  <c:v>41579</c:v>
                </c:pt>
                <c:pt idx="8">
                  <c:v>41609</c:v>
                </c:pt>
                <c:pt idx="9">
                  <c:v>41640</c:v>
                </c:pt>
                <c:pt idx="10">
                  <c:v>41671</c:v>
                </c:pt>
                <c:pt idx="11">
                  <c:v>41699</c:v>
                </c:pt>
                <c:pt idx="12">
                  <c:v>41730</c:v>
                </c:pt>
                <c:pt idx="13">
                  <c:v>41760</c:v>
                </c:pt>
                <c:pt idx="14">
                  <c:v>41791</c:v>
                </c:pt>
                <c:pt idx="15">
                  <c:v>41821</c:v>
                </c:pt>
              </c:numCache>
            </c:numRef>
          </c:cat>
          <c:val>
            <c:numRef>
              <c:f>'D&amp;CS Admin'!$H$54:$H$70</c:f>
              <c:numCache>
                <c:formatCode>General</c:formatCode>
                <c:ptCount val="17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933824"/>
        <c:axId val="170263296"/>
      </c:lineChart>
      <c:dateAx>
        <c:axId val="16993382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70263296"/>
        <c:crosses val="autoZero"/>
        <c:auto val="1"/>
        <c:lblOffset val="100"/>
        <c:baseTimeUnit val="months"/>
      </c:dateAx>
      <c:valAx>
        <c:axId val="1702632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crossAx val="169933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531466513286324"/>
          <c:y val="2.3489115654428544E-2"/>
          <c:w val="0.27440421088932937"/>
          <c:h val="0.1582576654732317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 Petition to Close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193715739202396"/>
          <c:y val="0.13409037302459564"/>
          <c:w val="0.85536355022054378"/>
          <c:h val="0.61765529618785364"/>
        </c:manualLayout>
      </c:layout>
      <c:lineChart>
        <c:grouping val="standard"/>
        <c:varyColors val="0"/>
        <c:ser>
          <c:idx val="0"/>
          <c:order val="0"/>
          <c:tx>
            <c:strRef>
              <c:f>'D&amp;CS Admin'!$B$3</c:f>
              <c:strCache>
                <c:ptCount val="1"/>
                <c:pt idx="0">
                  <c:v>% in 150 days or less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Admin'!$A$11:$A$25</c:f>
              <c:numCache>
                <c:formatCode>mmm\-yy</c:formatCode>
                <c:ptCount val="15"/>
                <c:pt idx="0">
                  <c:v>41426</c:v>
                </c:pt>
                <c:pt idx="1">
                  <c:v>41456</c:v>
                </c:pt>
                <c:pt idx="2">
                  <c:v>41487</c:v>
                </c:pt>
                <c:pt idx="3">
                  <c:v>41518</c:v>
                </c:pt>
                <c:pt idx="4">
                  <c:v>41548</c:v>
                </c:pt>
                <c:pt idx="5">
                  <c:v>41579</c:v>
                </c:pt>
                <c:pt idx="6">
                  <c:v>41609</c:v>
                </c:pt>
                <c:pt idx="7">
                  <c:v>41640</c:v>
                </c:pt>
                <c:pt idx="8">
                  <c:v>41671</c:v>
                </c:pt>
                <c:pt idx="9">
                  <c:v>41699</c:v>
                </c:pt>
                <c:pt idx="10">
                  <c:v>41730</c:v>
                </c:pt>
                <c:pt idx="11">
                  <c:v>41760</c:v>
                </c:pt>
                <c:pt idx="12">
                  <c:v>41791</c:v>
                </c:pt>
                <c:pt idx="13">
                  <c:v>41821</c:v>
                </c:pt>
                <c:pt idx="14">
                  <c:v>41852</c:v>
                </c:pt>
              </c:numCache>
            </c:numRef>
          </c:cat>
          <c:val>
            <c:numRef>
              <c:f>'D&amp;CS Admin'!$B$11:$B$25</c:f>
              <c:numCache>
                <c:formatCode>0%</c:formatCode>
                <c:ptCount val="15"/>
                <c:pt idx="0">
                  <c:v>7.407407407407407E-2</c:v>
                </c:pt>
                <c:pt idx="1">
                  <c:v>0.2</c:v>
                </c:pt>
                <c:pt idx="2">
                  <c:v>0.27777777777777779</c:v>
                </c:pt>
                <c:pt idx="3">
                  <c:v>8.3333333333333329E-2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0.375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 Admin'!$C$3</c:f>
              <c:strCache>
                <c:ptCount val="1"/>
                <c:pt idx="0">
                  <c:v>Goal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Admin'!$A$11:$A$25</c:f>
              <c:numCache>
                <c:formatCode>mmm\-yy</c:formatCode>
                <c:ptCount val="15"/>
                <c:pt idx="0">
                  <c:v>41426</c:v>
                </c:pt>
                <c:pt idx="1">
                  <c:v>41456</c:v>
                </c:pt>
                <c:pt idx="2">
                  <c:v>41487</c:v>
                </c:pt>
                <c:pt idx="3">
                  <c:v>41518</c:v>
                </c:pt>
                <c:pt idx="4">
                  <c:v>41548</c:v>
                </c:pt>
                <c:pt idx="5">
                  <c:v>41579</c:v>
                </c:pt>
                <c:pt idx="6">
                  <c:v>41609</c:v>
                </c:pt>
                <c:pt idx="7">
                  <c:v>41640</c:v>
                </c:pt>
                <c:pt idx="8">
                  <c:v>41671</c:v>
                </c:pt>
                <c:pt idx="9">
                  <c:v>41699</c:v>
                </c:pt>
                <c:pt idx="10">
                  <c:v>41730</c:v>
                </c:pt>
                <c:pt idx="11">
                  <c:v>41760</c:v>
                </c:pt>
                <c:pt idx="12">
                  <c:v>41791</c:v>
                </c:pt>
                <c:pt idx="13">
                  <c:v>41821</c:v>
                </c:pt>
                <c:pt idx="14">
                  <c:v>41852</c:v>
                </c:pt>
              </c:numCache>
            </c:numRef>
          </c:cat>
          <c:val>
            <c:numRef>
              <c:f>'D&amp;CS Admin'!$C$11:$C$24</c:f>
              <c:numCache>
                <c:formatCode>0%</c:formatCode>
                <c:ptCount val="1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302080"/>
        <c:axId val="170316160"/>
      </c:lineChart>
      <c:dateAx>
        <c:axId val="17030208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70316160"/>
        <c:crosses val="autoZero"/>
        <c:auto val="1"/>
        <c:lblOffset val="100"/>
        <c:baseTimeUnit val="months"/>
      </c:dateAx>
      <c:valAx>
        <c:axId val="170316160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1703020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15675054191037"/>
          <c:y val="0.2754446806785964"/>
          <c:w val="0.30272550591486602"/>
          <c:h val="0.1987726458431199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age (days)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612227721352316"/>
          <c:y val="0.15875935248338982"/>
          <c:w val="0.86525521474627587"/>
          <c:h val="0.647424056978510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'D&amp;CS Admin'!$G$3</c:f>
              <c:strCache>
                <c:ptCount val="1"/>
                <c:pt idx="0">
                  <c:v>Average age (days)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Admin'!$A$11:$A$25</c:f>
              <c:numCache>
                <c:formatCode>mmm\-yy</c:formatCode>
                <c:ptCount val="15"/>
                <c:pt idx="0">
                  <c:v>41426</c:v>
                </c:pt>
                <c:pt idx="1">
                  <c:v>41456</c:v>
                </c:pt>
                <c:pt idx="2">
                  <c:v>41487</c:v>
                </c:pt>
                <c:pt idx="3">
                  <c:v>41518</c:v>
                </c:pt>
                <c:pt idx="4">
                  <c:v>41548</c:v>
                </c:pt>
                <c:pt idx="5">
                  <c:v>41579</c:v>
                </c:pt>
                <c:pt idx="6">
                  <c:v>41609</c:v>
                </c:pt>
                <c:pt idx="7">
                  <c:v>41640</c:v>
                </c:pt>
                <c:pt idx="8">
                  <c:v>41671</c:v>
                </c:pt>
                <c:pt idx="9">
                  <c:v>41699</c:v>
                </c:pt>
                <c:pt idx="10">
                  <c:v>41730</c:v>
                </c:pt>
                <c:pt idx="11">
                  <c:v>41760</c:v>
                </c:pt>
                <c:pt idx="12">
                  <c:v>41791</c:v>
                </c:pt>
                <c:pt idx="13">
                  <c:v>41821</c:v>
                </c:pt>
                <c:pt idx="14">
                  <c:v>41852</c:v>
                </c:pt>
              </c:numCache>
            </c:numRef>
          </c:cat>
          <c:val>
            <c:numRef>
              <c:f>'D&amp;CS Admin'!$G$11:$G$25</c:f>
              <c:numCache>
                <c:formatCode>0</c:formatCode>
                <c:ptCount val="15"/>
                <c:pt idx="0">
                  <c:v>309.39999999999998</c:v>
                </c:pt>
                <c:pt idx="1">
                  <c:v>220.7</c:v>
                </c:pt>
                <c:pt idx="2">
                  <c:v>203.7</c:v>
                </c:pt>
                <c:pt idx="3">
                  <c:v>324</c:v>
                </c:pt>
                <c:pt idx="4">
                  <c:v>425.3</c:v>
                </c:pt>
                <c:pt idx="5">
                  <c:v>433.3</c:v>
                </c:pt>
                <c:pt idx="6">
                  <c:v>391</c:v>
                </c:pt>
                <c:pt idx="7">
                  <c:v>239.5</c:v>
                </c:pt>
                <c:pt idx="8">
                  <c:v>429.5</c:v>
                </c:pt>
                <c:pt idx="9">
                  <c:v>304.8</c:v>
                </c:pt>
                <c:pt idx="10">
                  <c:v>251.3</c:v>
                </c:pt>
                <c:pt idx="11">
                  <c:v>153</c:v>
                </c:pt>
                <c:pt idx="12">
                  <c:v>471</c:v>
                </c:pt>
                <c:pt idx="13">
                  <c:v>202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843584"/>
        <c:axId val="175857664"/>
      </c:barChart>
      <c:lineChart>
        <c:grouping val="standard"/>
        <c:varyColors val="0"/>
        <c:ser>
          <c:idx val="1"/>
          <c:order val="1"/>
          <c:tx>
            <c:strRef>
              <c:f>'D&amp;CS Admin'!$H$3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Admin'!$A$9:$A$21</c:f>
              <c:numCache>
                <c:formatCode>mmm\-yy</c:formatCode>
                <c:ptCount val="13"/>
                <c:pt idx="0">
                  <c:v>41365</c:v>
                </c:pt>
                <c:pt idx="1">
                  <c:v>41395</c:v>
                </c:pt>
                <c:pt idx="2">
                  <c:v>41426</c:v>
                </c:pt>
                <c:pt idx="3">
                  <c:v>41456</c:v>
                </c:pt>
                <c:pt idx="4">
                  <c:v>41487</c:v>
                </c:pt>
                <c:pt idx="5">
                  <c:v>41518</c:v>
                </c:pt>
                <c:pt idx="6">
                  <c:v>41548</c:v>
                </c:pt>
                <c:pt idx="7">
                  <c:v>41579</c:v>
                </c:pt>
                <c:pt idx="8">
                  <c:v>41609</c:v>
                </c:pt>
                <c:pt idx="9">
                  <c:v>41640</c:v>
                </c:pt>
                <c:pt idx="10">
                  <c:v>41671</c:v>
                </c:pt>
                <c:pt idx="11">
                  <c:v>41699</c:v>
                </c:pt>
                <c:pt idx="12">
                  <c:v>41730</c:v>
                </c:pt>
              </c:numCache>
            </c:numRef>
          </c:cat>
          <c:val>
            <c:numRef>
              <c:f>'D&amp;CS Admin'!$H$9:$H$24</c:f>
              <c:numCache>
                <c:formatCode>General</c:formatCode>
                <c:ptCount val="16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150</c:v>
                </c:pt>
                <c:pt idx="10">
                  <c:v>150</c:v>
                </c:pt>
                <c:pt idx="11">
                  <c:v>150</c:v>
                </c:pt>
                <c:pt idx="12">
                  <c:v>150</c:v>
                </c:pt>
                <c:pt idx="13">
                  <c:v>150</c:v>
                </c:pt>
                <c:pt idx="14">
                  <c:v>150</c:v>
                </c:pt>
                <c:pt idx="15">
                  <c:v>150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843584"/>
        <c:axId val="175857664"/>
      </c:lineChart>
      <c:dateAx>
        <c:axId val="175843584"/>
        <c:scaling>
          <c:orientation val="minMax"/>
        </c:scaling>
        <c:delete val="0"/>
        <c:axPos val="b"/>
        <c:numFmt formatCode="[$-409]mmm\-yy;@" sourceLinked="0"/>
        <c:majorTickMark val="none"/>
        <c:minorTickMark val="none"/>
        <c:tickLblPos val="nextTo"/>
        <c:crossAx val="175857664"/>
        <c:crosses val="autoZero"/>
        <c:auto val="1"/>
        <c:lblOffset val="100"/>
        <c:baseTimeUnit val="months"/>
      </c:dateAx>
      <c:valAx>
        <c:axId val="1758576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crossAx val="1758435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612882829447255"/>
          <c:y val="2.2269746766567001E-2"/>
          <c:w val="0.28387117170552756"/>
          <c:h val="0.1512819769624899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Execution of Change Order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151025977640559"/>
          <c:y val="0.1770633323510358"/>
          <c:w val="0.85210618312344166"/>
          <c:h val="0.67275342507048852"/>
        </c:manualLayout>
      </c:layout>
      <c:lineChart>
        <c:grouping val="standard"/>
        <c:varyColors val="0"/>
        <c:ser>
          <c:idx val="0"/>
          <c:order val="0"/>
          <c:tx>
            <c:strRef>
              <c:f>'D&amp;CS Admin'!$B$130</c:f>
              <c:strCache>
                <c:ptCount val="1"/>
                <c:pt idx="0">
                  <c:v>% in 45 days or less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Admin'!$A$134:$A$148</c:f>
              <c:numCache>
                <c:formatCode>mmm\-yy</c:formatCode>
                <c:ptCount val="15"/>
                <c:pt idx="0">
                  <c:v>41426</c:v>
                </c:pt>
                <c:pt idx="1">
                  <c:v>41456</c:v>
                </c:pt>
                <c:pt idx="2">
                  <c:v>41487</c:v>
                </c:pt>
                <c:pt idx="3">
                  <c:v>41518</c:v>
                </c:pt>
                <c:pt idx="4">
                  <c:v>41548</c:v>
                </c:pt>
                <c:pt idx="5">
                  <c:v>41579</c:v>
                </c:pt>
                <c:pt idx="6">
                  <c:v>41609</c:v>
                </c:pt>
                <c:pt idx="7">
                  <c:v>41640</c:v>
                </c:pt>
                <c:pt idx="8">
                  <c:v>41671</c:v>
                </c:pt>
                <c:pt idx="9">
                  <c:v>41699</c:v>
                </c:pt>
                <c:pt idx="10">
                  <c:v>41730</c:v>
                </c:pt>
                <c:pt idx="11">
                  <c:v>41760</c:v>
                </c:pt>
                <c:pt idx="12">
                  <c:v>41791</c:v>
                </c:pt>
                <c:pt idx="13">
                  <c:v>41821</c:v>
                </c:pt>
                <c:pt idx="14">
                  <c:v>41852</c:v>
                </c:pt>
              </c:numCache>
            </c:numRef>
          </c:cat>
          <c:val>
            <c:numRef>
              <c:f>'D&amp;CS Admin'!$B$134:$B$148</c:f>
              <c:numCache>
                <c:formatCode>0%</c:formatCode>
                <c:ptCount val="15"/>
                <c:pt idx="0">
                  <c:v>0.6</c:v>
                </c:pt>
                <c:pt idx="1">
                  <c:v>0.33333333333333331</c:v>
                </c:pt>
                <c:pt idx="2">
                  <c:v>0.4375</c:v>
                </c:pt>
                <c:pt idx="3">
                  <c:v>0.66666666666666663</c:v>
                </c:pt>
                <c:pt idx="4">
                  <c:v>0.5</c:v>
                </c:pt>
                <c:pt idx="5">
                  <c:v>0.72727272727272729</c:v>
                </c:pt>
                <c:pt idx="6">
                  <c:v>0.25</c:v>
                </c:pt>
                <c:pt idx="7">
                  <c:v>0.375</c:v>
                </c:pt>
                <c:pt idx="8">
                  <c:v>0.63636363636363635</c:v>
                </c:pt>
                <c:pt idx="9">
                  <c:v>0.66666666666666663</c:v>
                </c:pt>
                <c:pt idx="10">
                  <c:v>0.77777777777777779</c:v>
                </c:pt>
                <c:pt idx="11">
                  <c:v>0.8571428571428571</c:v>
                </c:pt>
                <c:pt idx="12">
                  <c:v>0.75</c:v>
                </c:pt>
                <c:pt idx="13">
                  <c:v>0.5714285714285714</c:v>
                </c:pt>
                <c:pt idx="14">
                  <c:v>0.45454545454545453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 Admin'!$C$130</c:f>
              <c:strCache>
                <c:ptCount val="1"/>
                <c:pt idx="0">
                  <c:v>Goal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Admin'!$A$134:$A$148</c:f>
              <c:numCache>
                <c:formatCode>mmm\-yy</c:formatCode>
                <c:ptCount val="15"/>
                <c:pt idx="0">
                  <c:v>41426</c:v>
                </c:pt>
                <c:pt idx="1">
                  <c:v>41456</c:v>
                </c:pt>
                <c:pt idx="2">
                  <c:v>41487</c:v>
                </c:pt>
                <c:pt idx="3">
                  <c:v>41518</c:v>
                </c:pt>
                <c:pt idx="4">
                  <c:v>41548</c:v>
                </c:pt>
                <c:pt idx="5">
                  <c:v>41579</c:v>
                </c:pt>
                <c:pt idx="6">
                  <c:v>41609</c:v>
                </c:pt>
                <c:pt idx="7">
                  <c:v>41640</c:v>
                </c:pt>
                <c:pt idx="8">
                  <c:v>41671</c:v>
                </c:pt>
                <c:pt idx="9">
                  <c:v>41699</c:v>
                </c:pt>
                <c:pt idx="10">
                  <c:v>41730</c:v>
                </c:pt>
                <c:pt idx="11">
                  <c:v>41760</c:v>
                </c:pt>
                <c:pt idx="12">
                  <c:v>41791</c:v>
                </c:pt>
                <c:pt idx="13">
                  <c:v>41821</c:v>
                </c:pt>
                <c:pt idx="14">
                  <c:v>41852</c:v>
                </c:pt>
              </c:numCache>
            </c:numRef>
          </c:cat>
          <c:val>
            <c:numRef>
              <c:f>'D&amp;CS Admin'!$C$131:$C$146</c:f>
              <c:numCache>
                <c:formatCode>0%</c:formatCode>
                <c:ptCount val="16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884160"/>
        <c:axId val="175885696"/>
      </c:lineChart>
      <c:dateAx>
        <c:axId val="17588416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75885696"/>
        <c:crosses val="autoZero"/>
        <c:auto val="1"/>
        <c:lblOffset val="100"/>
        <c:baseTimeUnit val="months"/>
      </c:dateAx>
      <c:valAx>
        <c:axId val="175885696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1758841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2551261936488156"/>
          <c:y val="0.70502329256586416"/>
          <c:w val="0.28275098952470795"/>
          <c:h val="0.1455511922809757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landscape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age (days)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5855716633551654E-2"/>
          <c:y val="0.18245008941807578"/>
          <c:w val="0.89419481443324256"/>
          <c:h val="0.665000723158757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'D&amp;CS Admin'!$G$130</c:f>
              <c:strCache>
                <c:ptCount val="1"/>
                <c:pt idx="0">
                  <c:v>Average age (days)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Admin'!$A$134:$A$148</c:f>
              <c:numCache>
                <c:formatCode>mmm\-yy</c:formatCode>
                <c:ptCount val="15"/>
                <c:pt idx="0">
                  <c:v>41426</c:v>
                </c:pt>
                <c:pt idx="1">
                  <c:v>41456</c:v>
                </c:pt>
                <c:pt idx="2">
                  <c:v>41487</c:v>
                </c:pt>
                <c:pt idx="3">
                  <c:v>41518</c:v>
                </c:pt>
                <c:pt idx="4">
                  <c:v>41548</c:v>
                </c:pt>
                <c:pt idx="5">
                  <c:v>41579</c:v>
                </c:pt>
                <c:pt idx="6">
                  <c:v>41609</c:v>
                </c:pt>
                <c:pt idx="7">
                  <c:v>41640</c:v>
                </c:pt>
                <c:pt idx="8">
                  <c:v>41671</c:v>
                </c:pt>
                <c:pt idx="9">
                  <c:v>41699</c:v>
                </c:pt>
                <c:pt idx="10">
                  <c:v>41730</c:v>
                </c:pt>
                <c:pt idx="11">
                  <c:v>41760</c:v>
                </c:pt>
                <c:pt idx="12">
                  <c:v>41791</c:v>
                </c:pt>
                <c:pt idx="13">
                  <c:v>41821</c:v>
                </c:pt>
                <c:pt idx="14">
                  <c:v>41852</c:v>
                </c:pt>
              </c:numCache>
            </c:numRef>
          </c:cat>
          <c:val>
            <c:numRef>
              <c:f>'D&amp;CS Admin'!$G$134:$G$148</c:f>
              <c:numCache>
                <c:formatCode>General</c:formatCode>
                <c:ptCount val="15"/>
                <c:pt idx="0">
                  <c:v>54</c:v>
                </c:pt>
                <c:pt idx="1">
                  <c:v>89</c:v>
                </c:pt>
                <c:pt idx="2">
                  <c:v>95</c:v>
                </c:pt>
                <c:pt idx="3">
                  <c:v>41</c:v>
                </c:pt>
                <c:pt idx="4">
                  <c:v>74</c:v>
                </c:pt>
                <c:pt idx="5">
                  <c:v>42</c:v>
                </c:pt>
                <c:pt idx="6">
                  <c:v>62</c:v>
                </c:pt>
                <c:pt idx="7">
                  <c:v>81</c:v>
                </c:pt>
                <c:pt idx="8">
                  <c:v>50</c:v>
                </c:pt>
                <c:pt idx="9">
                  <c:v>58</c:v>
                </c:pt>
                <c:pt idx="10">
                  <c:v>28</c:v>
                </c:pt>
                <c:pt idx="11">
                  <c:v>38</c:v>
                </c:pt>
                <c:pt idx="12">
                  <c:v>34</c:v>
                </c:pt>
                <c:pt idx="13">
                  <c:v>50</c:v>
                </c:pt>
                <c:pt idx="1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928832"/>
        <c:axId val="175930368"/>
      </c:barChart>
      <c:lineChart>
        <c:grouping val="standard"/>
        <c:varyColors val="0"/>
        <c:ser>
          <c:idx val="1"/>
          <c:order val="1"/>
          <c:tx>
            <c:strRef>
              <c:f>'D&amp;CS Admin'!$H$130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dLbls>
            <c:dLbl>
              <c:idx val="12"/>
              <c:layout>
                <c:manualLayout>
                  <c:x val="-4.984423676012461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 Admin'!$A$132:$A$146</c:f>
              <c:numCache>
                <c:formatCode>mmm\-yy</c:formatCode>
                <c:ptCount val="15"/>
                <c:pt idx="0">
                  <c:v>41365</c:v>
                </c:pt>
                <c:pt idx="1">
                  <c:v>41395</c:v>
                </c:pt>
                <c:pt idx="2">
                  <c:v>41426</c:v>
                </c:pt>
                <c:pt idx="3">
                  <c:v>41456</c:v>
                </c:pt>
                <c:pt idx="4">
                  <c:v>41487</c:v>
                </c:pt>
                <c:pt idx="5">
                  <c:v>41518</c:v>
                </c:pt>
                <c:pt idx="6">
                  <c:v>41548</c:v>
                </c:pt>
                <c:pt idx="7">
                  <c:v>41579</c:v>
                </c:pt>
                <c:pt idx="8">
                  <c:v>41609</c:v>
                </c:pt>
                <c:pt idx="9">
                  <c:v>41640</c:v>
                </c:pt>
                <c:pt idx="10">
                  <c:v>41671</c:v>
                </c:pt>
                <c:pt idx="11">
                  <c:v>41699</c:v>
                </c:pt>
                <c:pt idx="12">
                  <c:v>41730</c:v>
                </c:pt>
                <c:pt idx="13">
                  <c:v>41760</c:v>
                </c:pt>
                <c:pt idx="14">
                  <c:v>41791</c:v>
                </c:pt>
              </c:numCache>
            </c:numRef>
          </c:cat>
          <c:val>
            <c:numRef>
              <c:f>'D&amp;CS Admin'!$H$132:$H$147</c:f>
              <c:numCache>
                <c:formatCode>General</c:formatCode>
                <c:ptCount val="16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45</c:v>
                </c:pt>
                <c:pt idx="7">
                  <c:v>45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45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928832"/>
        <c:axId val="175930368"/>
      </c:lineChart>
      <c:dateAx>
        <c:axId val="17592883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75930368"/>
        <c:crosses val="autoZero"/>
        <c:auto val="1"/>
        <c:lblOffset val="100"/>
        <c:baseTimeUnit val="months"/>
      </c:dateAx>
      <c:valAx>
        <c:axId val="1759303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5928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815492923197687"/>
          <c:y val="2.8262325091082577E-2"/>
          <c:w val="0.26606951701130815"/>
          <c:h val="0.1363141006235999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>
                <a:effectLst/>
              </a:rPr>
              <a:t>Curb Appeal IV - Project % Complete Per Week</a:t>
            </a:r>
            <a:endParaRPr lang="en-US">
              <a:effectLst/>
            </a:endParaRP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8.5938845037781167E-2"/>
          <c:y val="0.12464485310665414"/>
          <c:w val="0.87967451765280247"/>
          <c:h val="0.73470214545074775"/>
        </c:manualLayout>
      </c:layout>
      <c:lineChart>
        <c:grouping val="standard"/>
        <c:varyColors val="0"/>
        <c:ser>
          <c:idx val="0"/>
          <c:order val="0"/>
          <c:tx>
            <c:strRef>
              <c:f>'Curb Appeal III &amp; IV'!$F$2</c:f>
              <c:strCache>
                <c:ptCount val="1"/>
                <c:pt idx="0">
                  <c:v>Curb Appeal IV Project % complete per week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'Curb Appeal III &amp; IV'!$E$3:$E$39</c:f>
              <c:numCache>
                <c:formatCode>m/d/yy;@</c:formatCode>
                <c:ptCount val="37"/>
                <c:pt idx="0">
                  <c:v>41876</c:v>
                </c:pt>
                <c:pt idx="1">
                  <c:v>41883</c:v>
                </c:pt>
                <c:pt idx="2">
                  <c:v>41890</c:v>
                </c:pt>
                <c:pt idx="3">
                  <c:v>41897</c:v>
                </c:pt>
                <c:pt idx="4">
                  <c:v>41904</c:v>
                </c:pt>
                <c:pt idx="5">
                  <c:v>41911</c:v>
                </c:pt>
                <c:pt idx="6">
                  <c:v>41918</c:v>
                </c:pt>
                <c:pt idx="7">
                  <c:v>41925</c:v>
                </c:pt>
                <c:pt idx="8">
                  <c:v>41932</c:v>
                </c:pt>
                <c:pt idx="9">
                  <c:v>41939</c:v>
                </c:pt>
                <c:pt idx="10">
                  <c:v>41946</c:v>
                </c:pt>
                <c:pt idx="11">
                  <c:v>41953</c:v>
                </c:pt>
                <c:pt idx="12">
                  <c:v>41960</c:v>
                </c:pt>
                <c:pt idx="13">
                  <c:v>41967</c:v>
                </c:pt>
                <c:pt idx="14">
                  <c:v>41974</c:v>
                </c:pt>
                <c:pt idx="15">
                  <c:v>41981</c:v>
                </c:pt>
                <c:pt idx="16">
                  <c:v>41988</c:v>
                </c:pt>
                <c:pt idx="17">
                  <c:v>41995</c:v>
                </c:pt>
                <c:pt idx="18">
                  <c:v>42002</c:v>
                </c:pt>
                <c:pt idx="19">
                  <c:v>42009</c:v>
                </c:pt>
                <c:pt idx="20">
                  <c:v>42016</c:v>
                </c:pt>
                <c:pt idx="21">
                  <c:v>42023</c:v>
                </c:pt>
                <c:pt idx="22">
                  <c:v>42030</c:v>
                </c:pt>
                <c:pt idx="23">
                  <c:v>42037</c:v>
                </c:pt>
                <c:pt idx="24">
                  <c:v>42044</c:v>
                </c:pt>
                <c:pt idx="25">
                  <c:v>42051</c:v>
                </c:pt>
                <c:pt idx="26">
                  <c:v>42058</c:v>
                </c:pt>
                <c:pt idx="27">
                  <c:v>42065</c:v>
                </c:pt>
                <c:pt idx="28">
                  <c:v>42072</c:v>
                </c:pt>
                <c:pt idx="29">
                  <c:v>42079</c:v>
                </c:pt>
                <c:pt idx="30">
                  <c:v>42086</c:v>
                </c:pt>
                <c:pt idx="31">
                  <c:v>42093</c:v>
                </c:pt>
                <c:pt idx="32">
                  <c:v>42100</c:v>
                </c:pt>
                <c:pt idx="33">
                  <c:v>42107</c:v>
                </c:pt>
                <c:pt idx="34">
                  <c:v>42114</c:v>
                </c:pt>
                <c:pt idx="35">
                  <c:v>42121</c:v>
                </c:pt>
                <c:pt idx="36">
                  <c:v>42128</c:v>
                </c:pt>
              </c:numCache>
            </c:numRef>
          </c:cat>
          <c:val>
            <c:numRef>
              <c:f>'Curb Appeal III &amp; IV'!$F$3:$F$39</c:f>
              <c:numCache>
                <c:formatCode>0%</c:formatCode>
                <c:ptCount val="37"/>
                <c:pt idx="0">
                  <c:v>0</c:v>
                </c:pt>
                <c:pt idx="1">
                  <c:v>0.09</c:v>
                </c:pt>
                <c:pt idx="2">
                  <c:v>0.19</c:v>
                </c:pt>
                <c:pt idx="3">
                  <c:v>0.19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'Curb Appeal III &amp; IV'!$G$2</c:f>
              <c:strCache>
                <c:ptCount val="1"/>
                <c:pt idx="0">
                  <c:v>Goal</c:v>
                </c:pt>
              </c:strCache>
            </c:strRef>
          </c:tx>
          <c:marker>
            <c:symbol val="none"/>
          </c:marker>
          <c:cat>
            <c:numRef>
              <c:f>'Curb Appeal III &amp; IV'!$E$3:$E$39</c:f>
              <c:numCache>
                <c:formatCode>m/d/yy;@</c:formatCode>
                <c:ptCount val="37"/>
                <c:pt idx="0">
                  <c:v>41876</c:v>
                </c:pt>
                <c:pt idx="1">
                  <c:v>41883</c:v>
                </c:pt>
                <c:pt idx="2">
                  <c:v>41890</c:v>
                </c:pt>
                <c:pt idx="3">
                  <c:v>41897</c:v>
                </c:pt>
                <c:pt idx="4">
                  <c:v>41904</c:v>
                </c:pt>
                <c:pt idx="5">
                  <c:v>41911</c:v>
                </c:pt>
                <c:pt idx="6">
                  <c:v>41918</c:v>
                </c:pt>
                <c:pt idx="7">
                  <c:v>41925</c:v>
                </c:pt>
                <c:pt idx="8">
                  <c:v>41932</c:v>
                </c:pt>
                <c:pt idx="9">
                  <c:v>41939</c:v>
                </c:pt>
                <c:pt idx="10">
                  <c:v>41946</c:v>
                </c:pt>
                <c:pt idx="11">
                  <c:v>41953</c:v>
                </c:pt>
                <c:pt idx="12">
                  <c:v>41960</c:v>
                </c:pt>
                <c:pt idx="13">
                  <c:v>41967</c:v>
                </c:pt>
                <c:pt idx="14">
                  <c:v>41974</c:v>
                </c:pt>
                <c:pt idx="15">
                  <c:v>41981</c:v>
                </c:pt>
                <c:pt idx="16">
                  <c:v>41988</c:v>
                </c:pt>
                <c:pt idx="17">
                  <c:v>41995</c:v>
                </c:pt>
                <c:pt idx="18">
                  <c:v>42002</c:v>
                </c:pt>
                <c:pt idx="19">
                  <c:v>42009</c:v>
                </c:pt>
                <c:pt idx="20">
                  <c:v>42016</c:v>
                </c:pt>
                <c:pt idx="21">
                  <c:v>42023</c:v>
                </c:pt>
                <c:pt idx="22">
                  <c:v>42030</c:v>
                </c:pt>
                <c:pt idx="23">
                  <c:v>42037</c:v>
                </c:pt>
                <c:pt idx="24">
                  <c:v>42044</c:v>
                </c:pt>
                <c:pt idx="25">
                  <c:v>42051</c:v>
                </c:pt>
                <c:pt idx="26">
                  <c:v>42058</c:v>
                </c:pt>
                <c:pt idx="27">
                  <c:v>42065</c:v>
                </c:pt>
                <c:pt idx="28">
                  <c:v>42072</c:v>
                </c:pt>
                <c:pt idx="29">
                  <c:v>42079</c:v>
                </c:pt>
                <c:pt idx="30">
                  <c:v>42086</c:v>
                </c:pt>
                <c:pt idx="31">
                  <c:v>42093</c:v>
                </c:pt>
                <c:pt idx="32">
                  <c:v>42100</c:v>
                </c:pt>
                <c:pt idx="33">
                  <c:v>42107</c:v>
                </c:pt>
                <c:pt idx="34">
                  <c:v>42114</c:v>
                </c:pt>
                <c:pt idx="35">
                  <c:v>42121</c:v>
                </c:pt>
                <c:pt idx="36">
                  <c:v>42128</c:v>
                </c:pt>
              </c:numCache>
            </c:numRef>
          </c:cat>
          <c:val>
            <c:numRef>
              <c:f>'Curb Appeal III &amp; IV'!$G$3:$G$39</c:f>
              <c:numCache>
                <c:formatCode>0%</c:formatCode>
                <c:ptCount val="37"/>
                <c:pt idx="10">
                  <c:v>0.25</c:v>
                </c:pt>
                <c:pt idx="19">
                  <c:v>0.5</c:v>
                </c:pt>
                <c:pt idx="27">
                  <c:v>0.75</c:v>
                </c:pt>
                <c:pt idx="36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504192"/>
        <c:axId val="150505728"/>
      </c:lineChart>
      <c:dateAx>
        <c:axId val="150504192"/>
        <c:scaling>
          <c:orientation val="minMax"/>
        </c:scaling>
        <c:delete val="0"/>
        <c:axPos val="b"/>
        <c:numFmt formatCode="m/d/yy;@" sourceLinked="1"/>
        <c:majorTickMark val="out"/>
        <c:minorTickMark val="none"/>
        <c:tickLblPos val="nextTo"/>
        <c:crossAx val="150505728"/>
        <c:crosses val="autoZero"/>
        <c:auto val="1"/>
        <c:lblOffset val="100"/>
        <c:baseTimeUnit val="days"/>
      </c:dateAx>
      <c:valAx>
        <c:axId val="150505728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</a:t>
                </a:r>
                <a:r>
                  <a:rPr lang="en-US" baseline="0"/>
                  <a:t> Complete</a:t>
                </a:r>
                <a:endParaRPr lang="en-US"/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150504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21077798125346"/>
          <c:y val="0.70028496789011008"/>
          <c:w val="0.31320145973201924"/>
          <c:h val="9.3714096370620642E-2"/>
        </c:manualLayout>
      </c:layout>
      <c:overlay val="0"/>
    </c:legend>
    <c:plotVisOnly val="1"/>
    <c:dispBlanksAs val="gap"/>
    <c:showDLblsOverMax val="0"/>
  </c:chart>
  <c:printSettings>
    <c:headerFooter/>
    <c:pageMargins b="0.75" l="0.25" r="0.25" t="0.75" header="0.3" footer="0.3"/>
    <c:pageSetup orientation="landscape"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Process Requisitions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6739778275793882E-2"/>
          <c:y val="0.12117367618464539"/>
          <c:w val="0.88469504682421773"/>
          <c:h val="0.76091676445411927"/>
        </c:manualLayout>
      </c:layout>
      <c:lineChart>
        <c:grouping val="standard"/>
        <c:varyColors val="0"/>
        <c:ser>
          <c:idx val="0"/>
          <c:order val="0"/>
          <c:tx>
            <c:strRef>
              <c:f>'Business Services'!$B$3</c:f>
              <c:strCache>
                <c:ptCount val="1"/>
                <c:pt idx="0">
                  <c:v>% in 2 days or less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'Business Services'!$A$17:$A$36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'Business Services'!$B$17:$B$36</c:f>
              <c:numCache>
                <c:formatCode>0%</c:formatCode>
                <c:ptCount val="20"/>
                <c:pt idx="0">
                  <c:v>0.97637795275590555</c:v>
                </c:pt>
                <c:pt idx="1">
                  <c:v>0.77222222222222225</c:v>
                </c:pt>
                <c:pt idx="2">
                  <c:v>0.64661654135338342</c:v>
                </c:pt>
                <c:pt idx="3">
                  <c:v>0.57396449704142016</c:v>
                </c:pt>
                <c:pt idx="4">
                  <c:v>0.89570552147239269</c:v>
                </c:pt>
                <c:pt idx="5">
                  <c:v>0.8828125</c:v>
                </c:pt>
                <c:pt idx="6">
                  <c:v>0.77027027027027029</c:v>
                </c:pt>
                <c:pt idx="7">
                  <c:v>0.69426751592356684</c:v>
                </c:pt>
                <c:pt idx="8">
                  <c:v>0.66666666666666663</c:v>
                </c:pt>
                <c:pt idx="9">
                  <c:v>0.64814814814814814</c:v>
                </c:pt>
                <c:pt idx="10">
                  <c:v>0.85555555555555551</c:v>
                </c:pt>
                <c:pt idx="11">
                  <c:v>0.68484848484848482</c:v>
                </c:pt>
                <c:pt idx="12">
                  <c:v>0.72268907563025209</c:v>
                </c:pt>
                <c:pt idx="13">
                  <c:v>0.967741935483871</c:v>
                </c:pt>
                <c:pt idx="14">
                  <c:v>0.82914572864321612</c:v>
                </c:pt>
                <c:pt idx="15">
                  <c:v>0.91719745222929938</c:v>
                </c:pt>
                <c:pt idx="16">
                  <c:v>0.87619047619047619</c:v>
                </c:pt>
                <c:pt idx="17">
                  <c:v>0.87128712871287128</c:v>
                </c:pt>
                <c:pt idx="18">
                  <c:v>0.88059701492537312</c:v>
                </c:pt>
                <c:pt idx="19">
                  <c:v>0.81499999999999995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'Business Services'!$C$3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'Business Services'!$A$17:$A$36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'Business Services'!$C$17:$C$36</c:f>
              <c:numCache>
                <c:formatCode>0%</c:formatCode>
                <c:ptCount val="20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633536"/>
        <c:axId val="175635072"/>
      </c:lineChart>
      <c:dateAx>
        <c:axId val="175633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75635072"/>
        <c:crosses val="autoZero"/>
        <c:auto val="1"/>
        <c:lblOffset val="100"/>
        <c:baseTimeUnit val="months"/>
      </c:dateAx>
      <c:valAx>
        <c:axId val="175635072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1756335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357413031684304"/>
          <c:y val="0.60771664880982745"/>
          <c:w val="0.20806988901113946"/>
          <c:h val="0.1041492491624292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landscape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Process Invoices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961189617678931E-2"/>
          <c:y val="0.12850071478124328"/>
          <c:w val="0.9146121963091447"/>
          <c:h val="0.73882819159744295"/>
        </c:manualLayout>
      </c:layout>
      <c:lineChart>
        <c:grouping val="standard"/>
        <c:varyColors val="0"/>
        <c:ser>
          <c:idx val="0"/>
          <c:order val="0"/>
          <c:tx>
            <c:strRef>
              <c:f>'[1]Business Services'!$B$31:$B$32</c:f>
              <c:strCache>
                <c:ptCount val="1"/>
                <c:pt idx="0">
                  <c:v>% in 2 days or less</c:v>
                </c:pt>
              </c:strCache>
            </c:strRef>
          </c:tx>
          <c:dLbls>
            <c:dLbl>
              <c:idx val="8"/>
              <c:layout>
                <c:manualLayout>
                  <c:x val="-6.4226075786769426E-3"/>
                  <c:y val="-9.54653937947494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'Business Services'!$A$50:$A$69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'Business Services'!$B$50:$B$69</c:f>
              <c:numCache>
                <c:formatCode>0%</c:formatCode>
                <c:ptCount val="20"/>
                <c:pt idx="0">
                  <c:v>0.98742138364779874</c:v>
                </c:pt>
                <c:pt idx="1">
                  <c:v>0.98428571428571432</c:v>
                </c:pt>
                <c:pt idx="2">
                  <c:v>0.99656357388316152</c:v>
                </c:pt>
                <c:pt idx="3">
                  <c:v>0.96933560477001701</c:v>
                </c:pt>
                <c:pt idx="4">
                  <c:v>0.99484536082474229</c:v>
                </c:pt>
                <c:pt idx="5">
                  <c:v>0.99717514124293782</c:v>
                </c:pt>
                <c:pt idx="6">
                  <c:v>0.99567099567099571</c:v>
                </c:pt>
                <c:pt idx="7">
                  <c:v>0.99276672694394208</c:v>
                </c:pt>
                <c:pt idx="8">
                  <c:v>0.9789719626168224</c:v>
                </c:pt>
                <c:pt idx="9">
                  <c:v>0.96990740740740744</c:v>
                </c:pt>
                <c:pt idx="10">
                  <c:v>1</c:v>
                </c:pt>
                <c:pt idx="11">
                  <c:v>0.93922651933701662</c:v>
                </c:pt>
                <c:pt idx="12">
                  <c:v>1</c:v>
                </c:pt>
                <c:pt idx="13">
                  <c:v>0.97619047619047616</c:v>
                </c:pt>
                <c:pt idx="14">
                  <c:v>0.98194945848375448</c:v>
                </c:pt>
                <c:pt idx="15">
                  <c:v>1</c:v>
                </c:pt>
                <c:pt idx="16">
                  <c:v>0.99437412095639943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'Business Services'!$C$37:$C$38</c:f>
              <c:strCache>
                <c:ptCount val="1"/>
                <c:pt idx="0">
                  <c:v>Process Invoices Goal</c:v>
                </c:pt>
              </c:strCache>
            </c:strRef>
          </c:tx>
          <c:cat>
            <c:numRef>
              <c:f>'Business Services'!$A$50:$A$69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'Business Services'!$C$50:$C$69</c:f>
              <c:numCache>
                <c:formatCode>0%</c:formatCode>
                <c:ptCount val="20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597632"/>
        <c:axId val="150599168"/>
      </c:lineChart>
      <c:dateAx>
        <c:axId val="15059763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50599168"/>
        <c:crosses val="autoZero"/>
        <c:auto val="1"/>
        <c:lblOffset val="100"/>
        <c:baseTimeUnit val="months"/>
      </c:dateAx>
      <c:valAx>
        <c:axId val="150599168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1505976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070204226695614"/>
          <c:y val="0.4523732059832421"/>
          <c:w val="0.22099339649385977"/>
          <c:h val="0.1104468675268088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FY14 Monthly Budget to Actual         </a:t>
            </a:r>
            <a:r>
              <a:rPr lang="en-US" sz="1400"/>
              <a:t>(Areas in Orange are Estimates)</a:t>
            </a:r>
            <a:endParaRPr lang="en-US"/>
          </a:p>
        </c:rich>
      </c:tx>
      <c:layout>
        <c:manualLayout>
          <c:xMode val="edge"/>
          <c:yMode val="edge"/>
          <c:x val="0.27521546581755657"/>
          <c:y val="2.7224774544835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998058073523889E-2"/>
          <c:y val="0.14415059628337826"/>
          <c:w val="0.89150029176145962"/>
          <c:h val="0.642986892825447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'FY14 Utilities'!$E$4</c:f>
              <c:strCache>
                <c:ptCount val="1"/>
                <c:pt idx="0">
                  <c:v>Budget Current Month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'FY14 Utilities'!$D$5:$D$17</c:f>
              <c:strCache>
                <c:ptCount val="13"/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  <c:pt idx="10">
                  <c:v>July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'FY14 Utilities'!$E$5:$E$17</c:f>
              <c:numCache>
                <c:formatCode>"$"#,##0</c:formatCode>
                <c:ptCount val="13"/>
                <c:pt idx="1">
                  <c:v>1335809.0503987879</c:v>
                </c:pt>
                <c:pt idx="2">
                  <c:v>1453024.9801453196</c:v>
                </c:pt>
                <c:pt idx="3">
                  <c:v>1693667.1167199505</c:v>
                </c:pt>
                <c:pt idx="4">
                  <c:v>1874884.7827131355</c:v>
                </c:pt>
                <c:pt idx="5">
                  <c:v>1798667.5196908957</c:v>
                </c:pt>
                <c:pt idx="6">
                  <c:v>1725082.9241133991</c:v>
                </c:pt>
                <c:pt idx="7">
                  <c:v>1647361.5606733842</c:v>
                </c:pt>
                <c:pt idx="8">
                  <c:v>1666843.0891434667</c:v>
                </c:pt>
                <c:pt idx="9">
                  <c:v>1697881.2075440849</c:v>
                </c:pt>
                <c:pt idx="10">
                  <c:v>2037628.5177706017</c:v>
                </c:pt>
                <c:pt idx="11">
                  <c:v>1886353.0000166902</c:v>
                </c:pt>
                <c:pt idx="12">
                  <c:v>1687145.251070285</c:v>
                </c:pt>
              </c:numCache>
            </c:numRef>
          </c:val>
        </c:ser>
        <c:ser>
          <c:idx val="1"/>
          <c:order val="1"/>
          <c:tx>
            <c:strRef>
              <c:f>'FY14 Utilities'!$G$4</c:f>
              <c:strCache>
                <c:ptCount val="1"/>
                <c:pt idx="0">
                  <c:v>Actual Current Month</c:v>
                </c:pt>
              </c:strCache>
            </c:strRef>
          </c:tx>
          <c:spPr>
            <a:solidFill>
              <a:srgbClr val="339966"/>
            </a:solidFill>
          </c:spPr>
          <c:invertIfNegative val="0"/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9900"/>
              </a:solidFill>
            </c:spPr>
          </c:dPt>
          <c:cat>
            <c:strRef>
              <c:f>'FY14 Utilities'!$D$5:$D$17</c:f>
              <c:strCache>
                <c:ptCount val="13"/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  <c:pt idx="10">
                  <c:v>July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'FY14 Utilities'!$G$5:$G$17</c:f>
              <c:numCache>
                <c:formatCode>"$"#,##0</c:formatCode>
                <c:ptCount val="13"/>
                <c:pt idx="1">
                  <c:v>1636959.8333333333</c:v>
                </c:pt>
                <c:pt idx="2">
                  <c:v>1561126.6249999998</c:v>
                </c:pt>
                <c:pt idx="3">
                  <c:v>1737250.7750000001</c:v>
                </c:pt>
                <c:pt idx="4">
                  <c:v>2273933.6066666665</c:v>
                </c:pt>
                <c:pt idx="5">
                  <c:v>2035592.4366666668</c:v>
                </c:pt>
                <c:pt idx="6">
                  <c:v>2197900.8766666665</c:v>
                </c:pt>
                <c:pt idx="7">
                  <c:v>1626166.6900000002</c:v>
                </c:pt>
                <c:pt idx="8">
                  <c:v>1644664.35</c:v>
                </c:pt>
                <c:pt idx="9">
                  <c:v>1696704.8299999998</c:v>
                </c:pt>
                <c:pt idx="10">
                  <c:v>1850341.27</c:v>
                </c:pt>
                <c:pt idx="11">
                  <c:v>1853730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70167680"/>
        <c:axId val="170173568"/>
      </c:barChart>
      <c:catAx>
        <c:axId val="170167680"/>
        <c:scaling>
          <c:orientation val="minMax"/>
        </c:scaling>
        <c:delete val="0"/>
        <c:axPos val="b"/>
        <c:majorTickMark val="none"/>
        <c:minorTickMark val="none"/>
        <c:tickLblPos val="nextTo"/>
        <c:crossAx val="170173568"/>
        <c:crosses val="autoZero"/>
        <c:auto val="1"/>
        <c:lblAlgn val="ctr"/>
        <c:lblOffset val="100"/>
        <c:noMultiLvlLbl val="0"/>
      </c:catAx>
      <c:valAx>
        <c:axId val="170173568"/>
        <c:scaling>
          <c:orientation val="minMax"/>
        </c:scaling>
        <c:delete val="0"/>
        <c:axPos val="l"/>
        <c:majorGridlines/>
        <c:numFmt formatCode="&quot;$&quot;#,##0" sourceLinked="0"/>
        <c:majorTickMark val="none"/>
        <c:minorTickMark val="none"/>
        <c:tickLblPos val="nextTo"/>
        <c:spPr>
          <a:ln w="9525">
            <a:noFill/>
          </a:ln>
        </c:spPr>
        <c:crossAx val="1701676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771744049235225"/>
          <c:y val="0.88323770679744151"/>
          <c:w val="0.51222282559507648"/>
          <c:h val="7.5447459062954553E-2"/>
        </c:manualLayout>
      </c:layout>
      <c:overlay val="0"/>
      <c:txPr>
        <a:bodyPr/>
        <a:lstStyle/>
        <a:p>
          <a:pPr>
            <a:defRPr sz="13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FY14 Year to Date Actual to Budget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177037437107364"/>
          <c:y val="0.14068057189942532"/>
          <c:w val="0.85168329590570135"/>
          <c:h val="0.66161107995903723"/>
        </c:manualLayout>
      </c:layout>
      <c:lineChart>
        <c:grouping val="standard"/>
        <c:varyColors val="0"/>
        <c:ser>
          <c:idx val="1"/>
          <c:order val="0"/>
          <c:tx>
            <c:strRef>
              <c:f>'FY14 Utilities'!$F$4</c:f>
              <c:strCache>
                <c:ptCount val="1"/>
                <c:pt idx="0">
                  <c:v>Budget YTD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9109506618531888E-2"/>
                  <c:y val="-4.34637245068538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layout>
                <c:manualLayout>
                  <c:x val="-6.9193742478940987E-2"/>
                  <c:y val="-5.0150451354062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7.6714801444043315E-2"/>
                  <c:y val="-4.34637245068538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layout>
                <c:manualLayout>
                  <c:x val="-9.0252707581227554E-2"/>
                  <c:y val="-2.3403543965228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delete val="1"/>
            </c:dLbl>
            <c:dLbl>
              <c:idx val="11"/>
              <c:layout>
                <c:manualLayout>
                  <c:x val="-6.4681107099879773E-2"/>
                  <c:y val="-1.0030090270812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'FY14 Utilities'!$D$5:$D$17</c:f>
              <c:strCache>
                <c:ptCount val="13"/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  <c:pt idx="10">
                  <c:v>July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'FY14 Utilities'!$F$5:$F$17</c:f>
              <c:numCache>
                <c:formatCode>"$"#,##0</c:formatCode>
                <c:ptCount val="13"/>
                <c:pt idx="1">
                  <c:v>1335809.0503987879</c:v>
                </c:pt>
                <c:pt idx="2">
                  <c:v>2788834.0305441078</c:v>
                </c:pt>
                <c:pt idx="3">
                  <c:v>4482501.1472640578</c:v>
                </c:pt>
                <c:pt idx="4">
                  <c:v>6357385.9299771935</c:v>
                </c:pt>
                <c:pt idx="5">
                  <c:v>8156053.4496680889</c:v>
                </c:pt>
                <c:pt idx="6">
                  <c:v>9881136.3737814873</c:v>
                </c:pt>
                <c:pt idx="7">
                  <c:v>11528497.934454871</c:v>
                </c:pt>
                <c:pt idx="8">
                  <c:v>13195341.023598338</c:v>
                </c:pt>
                <c:pt idx="9">
                  <c:v>14893222.231142422</c:v>
                </c:pt>
                <c:pt idx="10">
                  <c:v>16930850.748913024</c:v>
                </c:pt>
                <c:pt idx="11">
                  <c:v>18817203.748929713</c:v>
                </c:pt>
                <c:pt idx="12">
                  <c:v>20504348.999999996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'FY14 Utilities'!$H$4</c:f>
              <c:strCache>
                <c:ptCount val="1"/>
                <c:pt idx="0">
                  <c:v>Actual YTD</c:v>
                </c:pt>
              </c:strCache>
            </c:strRef>
          </c:tx>
          <c:marker>
            <c:symbol val="none"/>
          </c:marker>
          <c:cat>
            <c:strRef>
              <c:f>'FY14 Utilities'!$D$5:$D$17</c:f>
              <c:strCache>
                <c:ptCount val="13"/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  <c:pt idx="10">
                  <c:v>July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'FY14 Utilities'!$H$5:$H$17</c:f>
              <c:numCache>
                <c:formatCode>"$"#,##0</c:formatCode>
                <c:ptCount val="13"/>
                <c:pt idx="1">
                  <c:v>1636959.8333333333</c:v>
                </c:pt>
                <c:pt idx="2">
                  <c:v>3198086.458333333</c:v>
                </c:pt>
                <c:pt idx="3">
                  <c:v>4935337.2333333334</c:v>
                </c:pt>
                <c:pt idx="4">
                  <c:v>7209270.8399999999</c:v>
                </c:pt>
                <c:pt idx="5">
                  <c:v>9244863.2766666673</c:v>
                </c:pt>
                <c:pt idx="6">
                  <c:v>11442764.153333334</c:v>
                </c:pt>
                <c:pt idx="7">
                  <c:v>13068930.843333334</c:v>
                </c:pt>
                <c:pt idx="8">
                  <c:v>14713595.193333333</c:v>
                </c:pt>
                <c:pt idx="9">
                  <c:v>16410300.023333333</c:v>
                </c:pt>
                <c:pt idx="10">
                  <c:v>18260641.293333333</c:v>
                </c:pt>
                <c:pt idx="11">
                  <c:v>20114371.293333333</c:v>
                </c:pt>
                <c:pt idx="12">
                  <c:v>20114371.293333333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708416"/>
        <c:axId val="175726592"/>
      </c:lineChart>
      <c:catAx>
        <c:axId val="175708416"/>
        <c:scaling>
          <c:orientation val="minMax"/>
        </c:scaling>
        <c:delete val="0"/>
        <c:axPos val="b"/>
        <c:majorTickMark val="none"/>
        <c:minorTickMark val="none"/>
        <c:tickLblPos val="nextTo"/>
        <c:crossAx val="175726592"/>
        <c:crosses val="autoZero"/>
        <c:auto val="1"/>
        <c:lblAlgn val="ctr"/>
        <c:lblOffset val="100"/>
        <c:noMultiLvlLbl val="0"/>
      </c:catAx>
      <c:valAx>
        <c:axId val="175726592"/>
        <c:scaling>
          <c:orientation val="minMax"/>
        </c:scaling>
        <c:delete val="0"/>
        <c:axPos val="l"/>
        <c:majorGridlines/>
        <c:numFmt formatCode="&quot;$&quot;#,##0" sourceLinked="0"/>
        <c:majorTickMark val="none"/>
        <c:minorTickMark val="none"/>
        <c:tickLblPos val="nextTo"/>
        <c:crossAx val="1757084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831306491881275"/>
          <c:y val="0.90610869478226885"/>
          <c:w val="0.36673285135188155"/>
          <c:h val="6.679404977740018E-2"/>
        </c:manualLayout>
      </c:layout>
      <c:overlay val="0"/>
      <c:txPr>
        <a:bodyPr/>
        <a:lstStyle/>
        <a:p>
          <a:pPr>
            <a:defRPr sz="13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Heating Degree Days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711855895896322"/>
          <c:y val="0.14889440571520954"/>
          <c:w val="0.82800581915049165"/>
          <c:h val="0.64185376509464953"/>
        </c:manualLayout>
      </c:layout>
      <c:lineChart>
        <c:grouping val="standard"/>
        <c:varyColors val="0"/>
        <c:ser>
          <c:idx val="0"/>
          <c:order val="0"/>
          <c:tx>
            <c:strRef>
              <c:f>[2]Calculations!$I$63</c:f>
              <c:strCache>
                <c:ptCount val="1"/>
                <c:pt idx="0">
                  <c:v>10 Yr Ave</c:v>
                </c:pt>
              </c:strCache>
            </c:strRef>
          </c:tx>
          <c:marker>
            <c:symbol val="none"/>
          </c:marker>
          <c:cat>
            <c:strRef>
              <c:f>[2]Calculations!$J$62:$U$62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[2]Calculations!$J$63:$U$63</c:f>
              <c:numCache>
                <c:formatCode>General</c:formatCode>
                <c:ptCount val="12"/>
                <c:pt idx="0">
                  <c:v>395.9</c:v>
                </c:pt>
                <c:pt idx="1">
                  <c:v>669.5</c:v>
                </c:pt>
                <c:pt idx="2">
                  <c:v>1097</c:v>
                </c:pt>
                <c:pt idx="3">
                  <c:v>1218.9000000000001</c:v>
                </c:pt>
                <c:pt idx="4">
                  <c:v>1072.5</c:v>
                </c:pt>
                <c:pt idx="5">
                  <c:v>858.4</c:v>
                </c:pt>
                <c:pt idx="6">
                  <c:v>446</c:v>
                </c:pt>
                <c:pt idx="7">
                  <c:v>219.2</c:v>
                </c:pt>
                <c:pt idx="8">
                  <c:v>22.5</c:v>
                </c:pt>
                <c:pt idx="9">
                  <c:v>2.8</c:v>
                </c:pt>
                <c:pt idx="10">
                  <c:v>4.5999999999999996</c:v>
                </c:pt>
                <c:pt idx="11">
                  <c:v>78.5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[2]Calculations!$I$64</c:f>
              <c:strCache>
                <c:ptCount val="1"/>
                <c:pt idx="0">
                  <c:v>FY12 YTD</c:v>
                </c:pt>
              </c:strCache>
            </c:strRef>
          </c:tx>
          <c:marker>
            <c:symbol val="none"/>
          </c:marker>
          <c:cat>
            <c:strRef>
              <c:f>[2]Calculations!$J$62:$U$62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[2]Calculations!$J$64:$U$64</c:f>
              <c:numCache>
                <c:formatCode>General</c:formatCode>
                <c:ptCount val="12"/>
                <c:pt idx="0">
                  <c:v>331</c:v>
                </c:pt>
                <c:pt idx="1">
                  <c:v>550</c:v>
                </c:pt>
                <c:pt idx="2">
                  <c:v>909</c:v>
                </c:pt>
                <c:pt idx="3">
                  <c:v>1057</c:v>
                </c:pt>
                <c:pt idx="4">
                  <c:v>936</c:v>
                </c:pt>
                <c:pt idx="5">
                  <c:v>459</c:v>
                </c:pt>
                <c:pt idx="6">
                  <c:v>468</c:v>
                </c:pt>
                <c:pt idx="7">
                  <c:v>82</c:v>
                </c:pt>
                <c:pt idx="8">
                  <c:v>19</c:v>
                </c:pt>
                <c:pt idx="9">
                  <c:v>0</c:v>
                </c:pt>
                <c:pt idx="10">
                  <c:v>1</c:v>
                </c:pt>
                <c:pt idx="11">
                  <c:v>116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67808"/>
        <c:axId val="167369344"/>
      </c:lineChart>
      <c:catAx>
        <c:axId val="167367808"/>
        <c:scaling>
          <c:orientation val="minMax"/>
        </c:scaling>
        <c:delete val="0"/>
        <c:axPos val="b"/>
        <c:majorTickMark val="none"/>
        <c:minorTickMark val="none"/>
        <c:tickLblPos val="nextTo"/>
        <c:crossAx val="167369344"/>
        <c:crosses val="autoZero"/>
        <c:auto val="1"/>
        <c:lblAlgn val="ctr"/>
        <c:lblOffset val="100"/>
        <c:noMultiLvlLbl val="0"/>
      </c:catAx>
      <c:valAx>
        <c:axId val="167369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Heating Degree Days</a:t>
                </a:r>
              </a:p>
            </c:rich>
          </c:tx>
          <c:layout>
            <c:manualLayout>
              <c:xMode val="edge"/>
              <c:yMode val="edge"/>
              <c:x val="3.1196202238627912E-2"/>
              <c:y val="0.3113730210475289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673678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738793505628689"/>
          <c:y val="0.90062663345425864"/>
          <c:w val="0.43391685096350813"/>
          <c:h val="6.3987662370229195E-2"/>
        </c:manualLayout>
      </c:layout>
      <c:overlay val="0"/>
    </c:legend>
    <c:plotVisOnly val="1"/>
    <c:dispBlanksAs val="gap"/>
    <c:showDLblsOverMax val="0"/>
  </c:chart>
  <c:printSettings>
    <c:headerFooter>
      <c:oddFooter>&amp;L&amp;F&amp;CPrinted on &amp;D&amp;RLarry S. Fodor</c:oddFooter>
    </c:headerFooter>
    <c:pageMargins b="0.75000000000000122" l="0.70000000000000062" r="0.70000000000000062" t="0.75000000000000122" header="0.30000000000000032" footer="0.30000000000000032"/>
    <c:pageSetup orientation="landscape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Cooling Degree Days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123030602101169"/>
          <c:y val="0.14857895146581254"/>
          <c:w val="0.86379240060932583"/>
          <c:h val="0.64261254949063551"/>
        </c:manualLayout>
      </c:layout>
      <c:lineChart>
        <c:grouping val="standard"/>
        <c:varyColors val="0"/>
        <c:ser>
          <c:idx val="0"/>
          <c:order val="0"/>
          <c:tx>
            <c:strRef>
              <c:f>[2]Calculations!$I$57</c:f>
              <c:strCache>
                <c:ptCount val="1"/>
                <c:pt idx="0">
                  <c:v>10 Yr Ave</c:v>
                </c:pt>
              </c:strCache>
            </c:strRef>
          </c:tx>
          <c:marker>
            <c:symbol val="none"/>
          </c:marker>
          <c:cat>
            <c:strRef>
              <c:f>[2]Calculations!$J$56:$U$56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[2]Calculations!$J$57:$U$57</c:f>
              <c:numCache>
                <c:formatCode>General</c:formatCode>
                <c:ptCount val="12"/>
                <c:pt idx="0">
                  <c:v>12.9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</c:v>
                </c:pt>
                <c:pt idx="6">
                  <c:v>8</c:v>
                </c:pt>
                <c:pt idx="7">
                  <c:v>41.4</c:v>
                </c:pt>
                <c:pt idx="8">
                  <c:v>175.7</c:v>
                </c:pt>
                <c:pt idx="9">
                  <c:v>295.7</c:v>
                </c:pt>
                <c:pt idx="10">
                  <c:v>249.5</c:v>
                </c:pt>
                <c:pt idx="11">
                  <c:v>95.3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[2]Calculations!$I$58</c:f>
              <c:strCache>
                <c:ptCount val="1"/>
                <c:pt idx="0">
                  <c:v>FY12 YTD</c:v>
                </c:pt>
              </c:strCache>
            </c:strRef>
          </c:tx>
          <c:marker>
            <c:symbol val="none"/>
          </c:marker>
          <c:cat>
            <c:strRef>
              <c:f>[2]Calculations!$J$56:$U$56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[2]Calculations!$J$58:$U$58</c:f>
              <c:numCache>
                <c:formatCode>General</c:formatCode>
                <c:ptCount val="12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17</c:v>
                </c:pt>
                <c:pt idx="6">
                  <c:v>3</c:v>
                </c:pt>
                <c:pt idx="7">
                  <c:v>95</c:v>
                </c:pt>
                <c:pt idx="8">
                  <c:v>240</c:v>
                </c:pt>
                <c:pt idx="9">
                  <c:v>439</c:v>
                </c:pt>
                <c:pt idx="10">
                  <c:v>253</c:v>
                </c:pt>
                <c:pt idx="11">
                  <c:v>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747072"/>
        <c:axId val="175748608"/>
      </c:lineChart>
      <c:catAx>
        <c:axId val="175747072"/>
        <c:scaling>
          <c:orientation val="minMax"/>
        </c:scaling>
        <c:delete val="0"/>
        <c:axPos val="b"/>
        <c:majorTickMark val="none"/>
        <c:minorTickMark val="none"/>
        <c:tickLblPos val="nextTo"/>
        <c:crossAx val="175748608"/>
        <c:crosses val="autoZero"/>
        <c:auto val="1"/>
        <c:lblAlgn val="ctr"/>
        <c:lblOffset val="100"/>
        <c:noMultiLvlLbl val="0"/>
      </c:catAx>
      <c:valAx>
        <c:axId val="1757486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Cooling Degree Days</a:t>
                </a:r>
              </a:p>
            </c:rich>
          </c:tx>
          <c:layout>
            <c:manualLayout>
              <c:xMode val="edge"/>
              <c:yMode val="edge"/>
              <c:x val="1.088773984995749E-2"/>
              <c:y val="0.3123109346501184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757470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377144614416375"/>
          <c:y val="0.91496146403309764"/>
          <c:w val="0.45612632038161482"/>
          <c:h val="6.3852095288936497E-2"/>
        </c:manualLayout>
      </c:layout>
      <c:overlay val="0"/>
    </c:legend>
    <c:plotVisOnly val="1"/>
    <c:dispBlanksAs val="gap"/>
    <c:showDLblsOverMax val="0"/>
  </c:chart>
  <c:printSettings>
    <c:headerFooter>
      <c:oddFooter>&amp;L&amp;F&amp;CPrinted on &amp;D&amp;RLarry S. Fodor</c:oddFooter>
    </c:headerFooter>
    <c:pageMargins b="0.75000000000000122" l="0.70000000000000062" r="0.70000000000000062" t="0.75000000000000122" header="0.30000000000000032" footer="0.30000000000000032"/>
    <c:pageSetup orientation="landscape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FY14 Cooling Degree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[3]Calculations!$I$44</c:f>
              <c:strCache>
                <c:ptCount val="1"/>
                <c:pt idx="0">
                  <c:v>10 Yr Ave</c:v>
                </c:pt>
              </c:strCache>
            </c:strRef>
          </c:tx>
          <c:marker>
            <c:symbol val="none"/>
          </c:marker>
          <c:cat>
            <c:strRef>
              <c:f>[3]Calculations!$J$43:$U$43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[3]Calculations!$J$44:$U$44</c:f>
              <c:numCache>
                <c:formatCode>General</c:formatCode>
                <c:ptCount val="12"/>
                <c:pt idx="0">
                  <c:v>11.6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1.9</c:v>
                </c:pt>
                <c:pt idx="6">
                  <c:v>5.0999999999999996</c:v>
                </c:pt>
                <c:pt idx="7">
                  <c:v>58.5</c:v>
                </c:pt>
                <c:pt idx="8">
                  <c:v>185.8</c:v>
                </c:pt>
                <c:pt idx="9">
                  <c:v>308.10000000000002</c:v>
                </c:pt>
                <c:pt idx="10">
                  <c:v>245.5</c:v>
                </c:pt>
                <c:pt idx="11">
                  <c:v>90.6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[3]Calculations!$I$45</c:f>
              <c:strCache>
                <c:ptCount val="1"/>
                <c:pt idx="0">
                  <c:v>FY14 YTD</c:v>
                </c:pt>
              </c:strCache>
            </c:strRef>
          </c:tx>
          <c:marker>
            <c:symbol val="none"/>
          </c:marker>
          <c:cat>
            <c:strRef>
              <c:f>[3]Calculations!$J$43:$U$43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[3]Calculations!$J$45:$U$45</c:f>
              <c:numCache>
                <c:formatCode>General</c:formatCode>
                <c:ptCount val="12"/>
                <c:pt idx="0">
                  <c:v>20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67</c:v>
                </c:pt>
                <c:pt idx="8">
                  <c:v>182</c:v>
                </c:pt>
                <c:pt idx="9">
                  <c:v>164</c:v>
                </c:pt>
                <c:pt idx="10">
                  <c:v>214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766144"/>
        <c:axId val="175767936"/>
      </c:lineChart>
      <c:catAx>
        <c:axId val="175766144"/>
        <c:scaling>
          <c:orientation val="minMax"/>
        </c:scaling>
        <c:delete val="0"/>
        <c:axPos val="b"/>
        <c:majorTickMark val="none"/>
        <c:minorTickMark val="none"/>
        <c:tickLblPos val="nextTo"/>
        <c:crossAx val="175767936"/>
        <c:crosses val="autoZero"/>
        <c:auto val="1"/>
        <c:lblAlgn val="ctr"/>
        <c:lblOffset val="100"/>
        <c:noMultiLvlLbl val="0"/>
      </c:catAx>
      <c:valAx>
        <c:axId val="1757679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757661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FY14 Heating Degree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[3]Calculations!$I$50</c:f>
              <c:strCache>
                <c:ptCount val="1"/>
                <c:pt idx="0">
                  <c:v>10 Yr Ave</c:v>
                </c:pt>
              </c:strCache>
            </c:strRef>
          </c:tx>
          <c:marker>
            <c:symbol val="none"/>
          </c:marker>
          <c:cat>
            <c:strRef>
              <c:f>[3]Calculations!$J$49:$U$49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[3]Calculations!$J$50:$U$50</c:f>
              <c:numCache>
                <c:formatCode>General</c:formatCode>
                <c:ptCount val="12"/>
                <c:pt idx="0">
                  <c:v>381</c:v>
                </c:pt>
                <c:pt idx="1">
                  <c:v>669.8</c:v>
                </c:pt>
                <c:pt idx="2">
                  <c:v>1076.0999999999999</c:v>
                </c:pt>
                <c:pt idx="3">
                  <c:v>1200.4000000000001</c:v>
                </c:pt>
                <c:pt idx="4">
                  <c:v>1065.5999999999999</c:v>
                </c:pt>
                <c:pt idx="5">
                  <c:v>814.2</c:v>
                </c:pt>
                <c:pt idx="6">
                  <c:v>449.7</c:v>
                </c:pt>
                <c:pt idx="7">
                  <c:v>181.2</c:v>
                </c:pt>
                <c:pt idx="8">
                  <c:v>19.8</c:v>
                </c:pt>
                <c:pt idx="9">
                  <c:v>2.2999999999999998</c:v>
                </c:pt>
                <c:pt idx="10">
                  <c:v>4.7</c:v>
                </c:pt>
                <c:pt idx="11">
                  <c:v>76.7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[3]Calculations!$I$51</c:f>
              <c:strCache>
                <c:ptCount val="1"/>
                <c:pt idx="0">
                  <c:v>FY14 YTD</c:v>
                </c:pt>
              </c:strCache>
            </c:strRef>
          </c:tx>
          <c:marker>
            <c:symbol val="none"/>
          </c:marker>
          <c:cat>
            <c:strRef>
              <c:f>[3]Calculations!$J$49:$U$49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[3]Calculations!$J$51:$U$51</c:f>
              <c:numCache>
                <c:formatCode>General</c:formatCode>
                <c:ptCount val="12"/>
                <c:pt idx="0">
                  <c:v>377</c:v>
                </c:pt>
                <c:pt idx="1">
                  <c:v>820</c:v>
                </c:pt>
                <c:pt idx="2">
                  <c:v>1170</c:v>
                </c:pt>
                <c:pt idx="3">
                  <c:v>1500</c:v>
                </c:pt>
                <c:pt idx="4">
                  <c:v>1274</c:v>
                </c:pt>
                <c:pt idx="5">
                  <c:v>1124</c:v>
                </c:pt>
                <c:pt idx="6">
                  <c:v>477</c:v>
                </c:pt>
                <c:pt idx="7">
                  <c:v>170</c:v>
                </c:pt>
                <c:pt idx="8">
                  <c:v>13</c:v>
                </c:pt>
                <c:pt idx="9">
                  <c:v>8</c:v>
                </c:pt>
                <c:pt idx="10">
                  <c:v>5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813376"/>
        <c:axId val="175814912"/>
      </c:lineChart>
      <c:catAx>
        <c:axId val="175813376"/>
        <c:scaling>
          <c:orientation val="minMax"/>
        </c:scaling>
        <c:delete val="0"/>
        <c:axPos val="b"/>
        <c:majorTickMark val="none"/>
        <c:minorTickMark val="none"/>
        <c:tickLblPos val="nextTo"/>
        <c:crossAx val="175814912"/>
        <c:crosses val="autoZero"/>
        <c:auto val="1"/>
        <c:lblAlgn val="ctr"/>
        <c:lblOffset val="100"/>
        <c:noMultiLvlLbl val="0"/>
      </c:catAx>
      <c:valAx>
        <c:axId val="1758149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758133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FY13 Monthly Budget to Actual         </a:t>
            </a:r>
            <a:r>
              <a:rPr lang="en-US" sz="1400"/>
              <a:t>(Areas in Orange are Estimates)</a:t>
            </a:r>
            <a:endParaRPr lang="en-US"/>
          </a:p>
        </c:rich>
      </c:tx>
      <c:layout>
        <c:manualLayout>
          <c:xMode val="edge"/>
          <c:yMode val="edge"/>
          <c:x val="0.27521546581755657"/>
          <c:y val="2.7224774544835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998058073523889E-2"/>
          <c:y val="0.14415059628337826"/>
          <c:w val="0.89150029176145962"/>
          <c:h val="0.64298689282544719"/>
        </c:manualLayout>
      </c:layout>
      <c:barChart>
        <c:barDir val="col"/>
        <c:grouping val="clustered"/>
        <c:varyColors val="0"/>
        <c:ser>
          <c:idx val="0"/>
          <c:order val="0"/>
          <c:tx>
            <c:v>Budget</c:v>
          </c:tx>
          <c:spPr>
            <a:solidFill>
              <a:srgbClr val="0070C0"/>
            </a:solidFill>
          </c:spPr>
          <c:invertIfNegative val="0"/>
          <c:cat>
            <c:strRef>
              <c:f>'FY13 Utilities'!$H$6:$H$17</c:f>
              <c:strCache>
                <c:ptCount val="12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  <c:pt idx="6">
                  <c:v>April</c:v>
                </c:pt>
                <c:pt idx="7">
                  <c:v>May</c:v>
                </c:pt>
                <c:pt idx="8">
                  <c:v>June</c:v>
                </c:pt>
                <c:pt idx="9">
                  <c:v>July</c:v>
                </c:pt>
                <c:pt idx="10">
                  <c:v>August</c:v>
                </c:pt>
                <c:pt idx="11">
                  <c:v>September</c:v>
                </c:pt>
              </c:strCache>
            </c:strRef>
          </c:cat>
          <c:val>
            <c:numRef>
              <c:f>'FY13 Utilities'!$I$6:$I$17</c:f>
              <c:numCache>
                <c:formatCode>"$"#,##0</c:formatCode>
                <c:ptCount val="12"/>
                <c:pt idx="0">
                  <c:v>1425739.7102200822</c:v>
                </c:pt>
                <c:pt idx="1">
                  <c:v>1579644.2809410642</c:v>
                </c:pt>
                <c:pt idx="2">
                  <c:v>1781829.6930283513</c:v>
                </c:pt>
                <c:pt idx="3">
                  <c:v>1807075.0242185101</c:v>
                </c:pt>
                <c:pt idx="4">
                  <c:v>1656923.0700182589</c:v>
                </c:pt>
                <c:pt idx="5">
                  <c:v>1755298.228238648</c:v>
                </c:pt>
                <c:pt idx="6">
                  <c:v>1385340.5978852578</c:v>
                </c:pt>
                <c:pt idx="7">
                  <c:v>1519655.9222153365</c:v>
                </c:pt>
                <c:pt idx="8">
                  <c:v>1543403.2832990324</c:v>
                </c:pt>
                <c:pt idx="9">
                  <c:v>1698407.793328786</c:v>
                </c:pt>
                <c:pt idx="10">
                  <c:v>1652760.7703522004</c:v>
                </c:pt>
                <c:pt idx="11">
                  <c:v>1500186.6262544699</c:v>
                </c:pt>
              </c:numCache>
            </c:numRef>
          </c:val>
        </c:ser>
        <c:ser>
          <c:idx val="1"/>
          <c:order val="1"/>
          <c:tx>
            <c:v>Actual</c:v>
          </c:tx>
          <c:spPr>
            <a:solidFill>
              <a:srgbClr val="339966"/>
            </a:solidFill>
          </c:spPr>
          <c:invertIfNegative val="0"/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cat>
            <c:strRef>
              <c:f>'FY13 Utilities'!$H$6:$H$17</c:f>
              <c:strCache>
                <c:ptCount val="12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  <c:pt idx="6">
                  <c:v>April</c:v>
                </c:pt>
                <c:pt idx="7">
                  <c:v>May</c:v>
                </c:pt>
                <c:pt idx="8">
                  <c:v>June</c:v>
                </c:pt>
                <c:pt idx="9">
                  <c:v>July</c:v>
                </c:pt>
                <c:pt idx="10">
                  <c:v>August</c:v>
                </c:pt>
                <c:pt idx="11">
                  <c:v>September</c:v>
                </c:pt>
              </c:strCache>
            </c:strRef>
          </c:cat>
          <c:val>
            <c:numRef>
              <c:f>'FY13 Utilities'!$K$6:$K$17</c:f>
              <c:numCache>
                <c:formatCode>"$"#,##0</c:formatCode>
                <c:ptCount val="12"/>
                <c:pt idx="0">
                  <c:v>1262105.7766666668</c:v>
                </c:pt>
                <c:pt idx="1">
                  <c:v>1372854.3166666667</c:v>
                </c:pt>
                <c:pt idx="2">
                  <c:v>1600219.0216666667</c:v>
                </c:pt>
                <c:pt idx="3">
                  <c:v>1771438.0016666669</c:v>
                </c:pt>
                <c:pt idx="4">
                  <c:v>1699426.0266666666</c:v>
                </c:pt>
                <c:pt idx="5">
                  <c:v>1629901.4616666667</c:v>
                </c:pt>
                <c:pt idx="6">
                  <c:v>1556468.3749999998</c:v>
                </c:pt>
                <c:pt idx="7">
                  <c:v>1574875.0099999998</c:v>
                </c:pt>
                <c:pt idx="8">
                  <c:v>1604200.5999999999</c:v>
                </c:pt>
                <c:pt idx="9">
                  <c:v>1929807.1799999997</c:v>
                </c:pt>
                <c:pt idx="10">
                  <c:v>1883654.6233333333</c:v>
                </c:pt>
                <c:pt idx="11">
                  <c:v>1457021.7333333334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76606592"/>
        <c:axId val="176292992"/>
      </c:barChart>
      <c:catAx>
        <c:axId val="176606592"/>
        <c:scaling>
          <c:orientation val="minMax"/>
        </c:scaling>
        <c:delete val="0"/>
        <c:axPos val="b"/>
        <c:majorTickMark val="none"/>
        <c:minorTickMark val="none"/>
        <c:tickLblPos val="nextTo"/>
        <c:crossAx val="176292992"/>
        <c:crosses val="autoZero"/>
        <c:auto val="1"/>
        <c:lblAlgn val="ctr"/>
        <c:lblOffset val="100"/>
        <c:noMultiLvlLbl val="0"/>
      </c:catAx>
      <c:valAx>
        <c:axId val="176292992"/>
        <c:scaling>
          <c:orientation val="minMax"/>
        </c:scaling>
        <c:delete val="0"/>
        <c:axPos val="l"/>
        <c:majorGridlines/>
        <c:numFmt formatCode="&quot;$&quot;#,##0" sourceLinked="1"/>
        <c:majorTickMark val="none"/>
        <c:minorTickMark val="none"/>
        <c:tickLblPos val="nextTo"/>
        <c:spPr>
          <a:ln w="9525">
            <a:noFill/>
          </a:ln>
        </c:spPr>
        <c:crossAx val="1766065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3649486995943689"/>
          <c:y val="0.88323770679744151"/>
          <c:w val="0.15619307382815392"/>
          <c:h val="7.3885519287118201E-2"/>
        </c:manualLayout>
      </c:layout>
      <c:overlay val="0"/>
      <c:txPr>
        <a:bodyPr/>
        <a:lstStyle/>
        <a:p>
          <a:pPr>
            <a:defRPr sz="13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FY13 Year to Date Actual to Budget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177037437107364"/>
          <c:y val="0.14068057189942532"/>
          <c:w val="0.85168329590570135"/>
          <c:h val="0.66161107995903723"/>
        </c:manualLayout>
      </c:layout>
      <c:lineChart>
        <c:grouping val="standard"/>
        <c:varyColors val="0"/>
        <c:ser>
          <c:idx val="1"/>
          <c:order val="0"/>
          <c:tx>
            <c:strRef>
              <c:f>'FY13 Utilities'!$J$4</c:f>
              <c:strCache>
                <c:ptCount val="1"/>
                <c:pt idx="0">
                  <c:v>Budget YTD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9109506618531888E-2"/>
                  <c:y val="-4.34637245068538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layout>
                <c:manualLayout>
                  <c:x val="-6.9193742478940987E-2"/>
                  <c:y val="-5.0150451354062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7.6714801444043315E-2"/>
                  <c:y val="-4.34637245068538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layout>
                <c:manualLayout>
                  <c:x val="-9.0252707581227554E-2"/>
                  <c:y val="-2.3403543965228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delete val="1"/>
            </c:dLbl>
            <c:dLbl>
              <c:idx val="11"/>
              <c:layout>
                <c:manualLayout>
                  <c:x val="-6.4681107099879773E-2"/>
                  <c:y val="-1.0030090270812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'FY13 Utilities'!$H$6:$H$17</c:f>
              <c:strCache>
                <c:ptCount val="12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  <c:pt idx="6">
                  <c:v>April</c:v>
                </c:pt>
                <c:pt idx="7">
                  <c:v>May</c:v>
                </c:pt>
                <c:pt idx="8">
                  <c:v>June</c:v>
                </c:pt>
                <c:pt idx="9">
                  <c:v>July</c:v>
                </c:pt>
                <c:pt idx="10">
                  <c:v>August</c:v>
                </c:pt>
                <c:pt idx="11">
                  <c:v>September</c:v>
                </c:pt>
              </c:strCache>
            </c:strRef>
          </c:cat>
          <c:val>
            <c:numRef>
              <c:f>'FY13 Utilities'!$J$6:$J$17</c:f>
              <c:numCache>
                <c:formatCode>"$"#,##0</c:formatCode>
                <c:ptCount val="12"/>
                <c:pt idx="0">
                  <c:v>1425739.7102200822</c:v>
                </c:pt>
                <c:pt idx="1">
                  <c:v>3005383.9911611462</c:v>
                </c:pt>
                <c:pt idx="2">
                  <c:v>4787213.6841894975</c:v>
                </c:pt>
                <c:pt idx="3">
                  <c:v>6594288.7084080074</c:v>
                </c:pt>
                <c:pt idx="4">
                  <c:v>8251211.7784262663</c:v>
                </c:pt>
                <c:pt idx="5">
                  <c:v>10006510.006664915</c:v>
                </c:pt>
                <c:pt idx="6">
                  <c:v>11391850.604550174</c:v>
                </c:pt>
                <c:pt idx="7">
                  <c:v>12911506.52676551</c:v>
                </c:pt>
                <c:pt idx="8">
                  <c:v>14454909.810064543</c:v>
                </c:pt>
                <c:pt idx="9">
                  <c:v>16153317.603393329</c:v>
                </c:pt>
                <c:pt idx="10">
                  <c:v>17806078.373745531</c:v>
                </c:pt>
                <c:pt idx="11">
                  <c:v>19306265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'FY13 Utilities'!$L$4</c:f>
              <c:strCache>
                <c:ptCount val="1"/>
                <c:pt idx="0">
                  <c:v>Actual YTD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1.0336478396534029E-2"/>
                  <c:y val="-1.67775067470753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layout>
                <c:manualLayout>
                  <c:x val="-2.6226068712299545E-3"/>
                  <c:y val="-2.3545240497813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0"/>
                  <c:y val="-2.3545240497813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layout>
                <c:manualLayout>
                  <c:x val="9.616114108339255E-17"/>
                  <c:y val="-2.01816347124117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delete val="1"/>
            </c:dLbl>
            <c:dLbl>
              <c:idx val="11"/>
              <c:layout>
                <c:manualLayout>
                  <c:x val="-1.3113034356150013E-3"/>
                  <c:y val="-3.36360578540195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'FY13 Utilities'!$H$6:$H$17</c:f>
              <c:strCache>
                <c:ptCount val="12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  <c:pt idx="6">
                  <c:v>April</c:v>
                </c:pt>
                <c:pt idx="7">
                  <c:v>May</c:v>
                </c:pt>
                <c:pt idx="8">
                  <c:v>June</c:v>
                </c:pt>
                <c:pt idx="9">
                  <c:v>July</c:v>
                </c:pt>
                <c:pt idx="10">
                  <c:v>August</c:v>
                </c:pt>
                <c:pt idx="11">
                  <c:v>September</c:v>
                </c:pt>
              </c:strCache>
            </c:strRef>
          </c:cat>
          <c:val>
            <c:numRef>
              <c:f>'FY13 Utilities'!$L$6:$L$17</c:f>
              <c:numCache>
                <c:formatCode>"$"#,##0</c:formatCode>
                <c:ptCount val="12"/>
                <c:pt idx="0">
                  <c:v>1262105.7766666668</c:v>
                </c:pt>
                <c:pt idx="1">
                  <c:v>2634960.0933333337</c:v>
                </c:pt>
                <c:pt idx="2">
                  <c:v>4235179.1150000002</c:v>
                </c:pt>
                <c:pt idx="3">
                  <c:v>6006617.1166666672</c:v>
                </c:pt>
                <c:pt idx="4">
                  <c:v>7706043.1433333335</c:v>
                </c:pt>
                <c:pt idx="5">
                  <c:v>9335944.6050000004</c:v>
                </c:pt>
                <c:pt idx="6">
                  <c:v>10892412.98</c:v>
                </c:pt>
                <c:pt idx="7">
                  <c:v>12467287.99</c:v>
                </c:pt>
                <c:pt idx="8">
                  <c:v>14071488.59</c:v>
                </c:pt>
                <c:pt idx="9">
                  <c:v>16001295.77</c:v>
                </c:pt>
                <c:pt idx="10">
                  <c:v>17884950.393333334</c:v>
                </c:pt>
                <c:pt idx="11">
                  <c:v>19341972.126666669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310912"/>
        <c:axId val="176353664"/>
      </c:lineChart>
      <c:catAx>
        <c:axId val="176310912"/>
        <c:scaling>
          <c:orientation val="minMax"/>
        </c:scaling>
        <c:delete val="0"/>
        <c:axPos val="b"/>
        <c:majorTickMark val="none"/>
        <c:minorTickMark val="none"/>
        <c:tickLblPos val="nextTo"/>
        <c:crossAx val="176353664"/>
        <c:crosses val="autoZero"/>
        <c:auto val="1"/>
        <c:lblAlgn val="ctr"/>
        <c:lblOffset val="100"/>
        <c:noMultiLvlLbl val="0"/>
      </c:catAx>
      <c:valAx>
        <c:axId val="176353664"/>
        <c:scaling>
          <c:orientation val="minMax"/>
        </c:scaling>
        <c:delete val="0"/>
        <c:axPos val="l"/>
        <c:majorGridlines/>
        <c:numFmt formatCode="&quot;$&quot;#,##0" sourceLinked="1"/>
        <c:majorTickMark val="none"/>
        <c:minorTickMark val="none"/>
        <c:tickLblPos val="nextTo"/>
        <c:crossAx val="1763109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225747841989067"/>
          <c:y val="0.90610861455758362"/>
          <c:w val="0.42991344267887094"/>
          <c:h val="6.0457751206375032E-2"/>
        </c:manualLayout>
      </c:layout>
      <c:overlay val="0"/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Project Survey Scores </a:t>
            </a:r>
          </a:p>
          <a:p>
            <a:pPr>
              <a:defRPr/>
            </a:pPr>
            <a:r>
              <a:rPr lang="en-US"/>
              <a:t>1=Strongly disagree  5=Strongly agree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6120039914968099E-2"/>
          <c:y val="0.13772024552067608"/>
          <c:w val="0.97387996008503186"/>
          <c:h val="0.73876750088927146"/>
        </c:manualLayout>
      </c:layout>
      <c:lineChart>
        <c:grouping val="standard"/>
        <c:varyColors val="0"/>
        <c:ser>
          <c:idx val="0"/>
          <c:order val="0"/>
          <c:tx>
            <c:strRef>
              <c:f>'Survey Projects'!$B$1:$B$2</c:f>
              <c:strCache>
                <c:ptCount val="1"/>
                <c:pt idx="0">
                  <c:v>Average Project Survey Scores 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'Survey Projects'!$A$3:$A$8</c:f>
              <c:numCache>
                <c:formatCode>mmm\-yy</c:formatCode>
                <c:ptCount val="6"/>
                <c:pt idx="0">
                  <c:v>41699</c:v>
                </c:pt>
                <c:pt idx="1">
                  <c:v>41730</c:v>
                </c:pt>
                <c:pt idx="2">
                  <c:v>41760</c:v>
                </c:pt>
                <c:pt idx="3">
                  <c:v>41791</c:v>
                </c:pt>
                <c:pt idx="4">
                  <c:v>41821</c:v>
                </c:pt>
                <c:pt idx="5">
                  <c:v>41852</c:v>
                </c:pt>
              </c:numCache>
            </c:numRef>
          </c:cat>
          <c:val>
            <c:numRef>
              <c:f>'Survey Projects'!$B$3:$B$8</c:f>
              <c:numCache>
                <c:formatCode>General</c:formatCode>
                <c:ptCount val="6"/>
                <c:pt idx="0">
                  <c:v>4.2</c:v>
                </c:pt>
                <c:pt idx="3">
                  <c:v>4.08</c:v>
                </c:pt>
                <c:pt idx="4">
                  <c:v>5</c:v>
                </c:pt>
                <c:pt idx="5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335872"/>
        <c:axId val="150337408"/>
      </c:lineChart>
      <c:dateAx>
        <c:axId val="15033587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50337408"/>
        <c:crosses val="autoZero"/>
        <c:auto val="1"/>
        <c:lblOffset val="100"/>
        <c:baseTimeUnit val="months"/>
      </c:dateAx>
      <c:valAx>
        <c:axId val="150337408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Score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0335872"/>
        <c:crosses val="autoZero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74531126413626336"/>
          <c:y val="0.41561328161801109"/>
          <c:w val="0.18685339609301607"/>
          <c:h val="0.13227146688452771"/>
        </c:manualLayout>
      </c:layout>
      <c:overlay val="0"/>
    </c:legend>
    <c:plotVisOnly val="1"/>
    <c:dispBlanksAs val="gap"/>
    <c:showDLblsOverMax val="0"/>
  </c:chart>
  <c:printSettings>
    <c:headerFooter/>
    <c:pageMargins b="0.75" l="0.25" r="0.25" t="0.75" header="0.3" footer="0.3"/>
    <c:pageSetup orientation="landscape"/>
  </c:printSettings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Budget</a:t>
            </a:r>
            <a:r>
              <a:rPr lang="en-US" baseline="0"/>
              <a:t> to Actual </a:t>
            </a:r>
            <a:endParaRPr lang="en-US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'FY12 Utilities'!$I$4:$I$5</c:f>
              <c:strCache>
                <c:ptCount val="1"/>
                <c:pt idx="0">
                  <c:v>Budget Current Month</c:v>
                </c:pt>
              </c:strCache>
            </c:strRef>
          </c:tx>
          <c:invertIfNegative val="0"/>
          <c:cat>
            <c:strRef>
              <c:f>'FY12 Utilities'!$H$6:$H$17</c:f>
              <c:strCache>
                <c:ptCount val="12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  <c:pt idx="6">
                  <c:v>April</c:v>
                </c:pt>
                <c:pt idx="7">
                  <c:v>May</c:v>
                </c:pt>
                <c:pt idx="8">
                  <c:v>June</c:v>
                </c:pt>
                <c:pt idx="9">
                  <c:v>July</c:v>
                </c:pt>
                <c:pt idx="10">
                  <c:v>August</c:v>
                </c:pt>
                <c:pt idx="11">
                  <c:v>September</c:v>
                </c:pt>
              </c:strCache>
            </c:strRef>
          </c:cat>
          <c:val>
            <c:numRef>
              <c:f>'FY12 Utilities'!$I$6:$I$17</c:f>
              <c:numCache>
                <c:formatCode>"$"#,##0</c:formatCode>
                <c:ptCount val="12"/>
                <c:pt idx="0">
                  <c:v>1537364.0443089562</c:v>
                </c:pt>
                <c:pt idx="1">
                  <c:v>1569782.8077603851</c:v>
                </c:pt>
                <c:pt idx="2">
                  <c:v>1770706.0078149508</c:v>
                </c:pt>
                <c:pt idx="3">
                  <c:v>1795793.7363350191</c:v>
                </c:pt>
                <c:pt idx="4">
                  <c:v>1646579.1573952856</c:v>
                </c:pt>
                <c:pt idx="5">
                  <c:v>1744340.1748270551</c:v>
                </c:pt>
                <c:pt idx="6">
                  <c:v>1376692.1323307136</c:v>
                </c:pt>
                <c:pt idx="7">
                  <c:v>1510168.9470136415</c:v>
                </c:pt>
                <c:pt idx="8">
                  <c:v>1533768.0570212791</c:v>
                </c:pt>
                <c:pt idx="9">
                  <c:v>1687804.8980403668</c:v>
                </c:pt>
                <c:pt idx="10">
                  <c:v>1642442.8423176704</c:v>
                </c:pt>
                <c:pt idx="11">
                  <c:v>1490821.1948346768</c:v>
                </c:pt>
              </c:numCache>
            </c:numRef>
          </c:val>
        </c:ser>
        <c:ser>
          <c:idx val="2"/>
          <c:order val="1"/>
          <c:tx>
            <c:strRef>
              <c:f>'FY12 Utilities'!$K$4:$K$5</c:f>
              <c:strCache>
                <c:ptCount val="1"/>
                <c:pt idx="0">
                  <c:v>Actual Current Month</c:v>
                </c:pt>
              </c:strCache>
            </c:strRef>
          </c:tx>
          <c:invertIfNegative val="0"/>
          <c:dPt>
            <c:idx val="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8"/>
            <c:invertIfNegative val="0"/>
            <c:bubble3D val="0"/>
            <c:spPr>
              <a:solidFill>
                <a:srgbClr val="5D9E3C"/>
              </a:solidFill>
            </c:spPr>
          </c:dPt>
          <c:dPt>
            <c:idx val="9"/>
            <c:invertIfNegative val="0"/>
            <c:bubble3D val="0"/>
            <c:spPr>
              <a:solidFill>
                <a:srgbClr val="5D9E3C"/>
              </a:solidFill>
            </c:spPr>
          </c:dPt>
          <c:dPt>
            <c:idx val="10"/>
            <c:invertIfNegative val="0"/>
            <c:bubble3D val="0"/>
            <c:spPr>
              <a:solidFill>
                <a:srgbClr val="5D9E3C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C000"/>
              </a:solidFill>
            </c:spPr>
          </c:dPt>
          <c:cat>
            <c:strRef>
              <c:f>'FY12 Utilities'!$H$6:$H$17</c:f>
              <c:strCache>
                <c:ptCount val="12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  <c:pt idx="6">
                  <c:v>April</c:v>
                </c:pt>
                <c:pt idx="7">
                  <c:v>May</c:v>
                </c:pt>
                <c:pt idx="8">
                  <c:v>June</c:v>
                </c:pt>
                <c:pt idx="9">
                  <c:v>July</c:v>
                </c:pt>
                <c:pt idx="10">
                  <c:v>August</c:v>
                </c:pt>
                <c:pt idx="11">
                  <c:v>September</c:v>
                </c:pt>
              </c:strCache>
            </c:strRef>
          </c:cat>
          <c:val>
            <c:numRef>
              <c:f>'FY12 Utilities'!$K$6:$K$17</c:f>
              <c:numCache>
                <c:formatCode>"$"#,##0</c:formatCode>
                <c:ptCount val="12"/>
                <c:pt idx="0">
                  <c:v>1347960.0533333332</c:v>
                </c:pt>
                <c:pt idx="1">
                  <c:v>1458614.0533333335</c:v>
                </c:pt>
                <c:pt idx="2">
                  <c:v>1619629.5433333335</c:v>
                </c:pt>
                <c:pt idx="3">
                  <c:v>1623765.5299999998</c:v>
                </c:pt>
                <c:pt idx="4">
                  <c:v>1590354.3599999999</c:v>
                </c:pt>
                <c:pt idx="5">
                  <c:v>1608108.7200000002</c:v>
                </c:pt>
                <c:pt idx="6">
                  <c:v>1354763.66</c:v>
                </c:pt>
                <c:pt idx="7">
                  <c:v>1443212.35</c:v>
                </c:pt>
                <c:pt idx="8">
                  <c:v>1534005.6800000002</c:v>
                </c:pt>
                <c:pt idx="9">
                  <c:v>1489784</c:v>
                </c:pt>
                <c:pt idx="10">
                  <c:v>1414082</c:v>
                </c:pt>
                <c:pt idx="11">
                  <c:v>2388819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6115712"/>
        <c:axId val="176117248"/>
        <c:axId val="0"/>
      </c:bar3DChart>
      <c:catAx>
        <c:axId val="17611571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76117248"/>
        <c:crosses val="autoZero"/>
        <c:auto val="1"/>
        <c:lblAlgn val="ctr"/>
        <c:lblOffset val="100"/>
        <c:noMultiLvlLbl val="1"/>
      </c:catAx>
      <c:valAx>
        <c:axId val="176117248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1761157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orientation="portrait" copies="2"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Year-to-Date</a:t>
            </a:r>
            <a:r>
              <a:rPr lang="en-US" baseline="0"/>
              <a:t> Actual to Budget</a:t>
            </a:r>
            <a:endParaRPr lang="en-US"/>
          </a:p>
        </c:rich>
      </c:tx>
      <c:layout>
        <c:manualLayout>
          <c:xMode val="edge"/>
          <c:yMode val="edge"/>
          <c:x val="0.29941298177514358"/>
          <c:y val="1.6870512045279923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'FY12 Utilities'!$J$4:$J$5</c:f>
              <c:strCache>
                <c:ptCount val="1"/>
                <c:pt idx="0">
                  <c:v>Budget YTD</c:v>
                </c:pt>
              </c:strCache>
            </c:strRef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-4.8241202212542855E-2"/>
                  <c:y val="-4.70711258301382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5.5778890058252699E-2"/>
                  <c:y val="-4.39330507747956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layout>
                <c:manualLayout>
                  <c:x val="-4.2211051935974998E-2"/>
                  <c:y val="-4.39330507747957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4.5226127074258927E-3"/>
                  <c:y val="-3.45188256087680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'FY12 Utilities'!$H$6:$H$17</c:f>
              <c:strCache>
                <c:ptCount val="12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  <c:pt idx="6">
                  <c:v>April</c:v>
                </c:pt>
                <c:pt idx="7">
                  <c:v>May</c:v>
                </c:pt>
                <c:pt idx="8">
                  <c:v>June</c:v>
                </c:pt>
                <c:pt idx="9">
                  <c:v>July</c:v>
                </c:pt>
                <c:pt idx="10">
                  <c:v>August</c:v>
                </c:pt>
                <c:pt idx="11">
                  <c:v>September</c:v>
                </c:pt>
              </c:strCache>
            </c:strRef>
          </c:cat>
          <c:val>
            <c:numRef>
              <c:f>'FY12 Utilities'!$J$6:$J$17</c:f>
              <c:numCache>
                <c:formatCode>"$"#,##0</c:formatCode>
                <c:ptCount val="12"/>
                <c:pt idx="0">
                  <c:v>1537364.0443089562</c:v>
                </c:pt>
                <c:pt idx="1">
                  <c:v>3107146.8520693416</c:v>
                </c:pt>
                <c:pt idx="2">
                  <c:v>4877852.8598842919</c:v>
                </c:pt>
                <c:pt idx="3">
                  <c:v>6673646.5962193105</c:v>
                </c:pt>
                <c:pt idx="4">
                  <c:v>8320225.7536145961</c:v>
                </c:pt>
                <c:pt idx="5">
                  <c:v>10064565.928441651</c:v>
                </c:pt>
                <c:pt idx="6">
                  <c:v>11441258.060772365</c:v>
                </c:pt>
                <c:pt idx="7">
                  <c:v>12951427.007786006</c:v>
                </c:pt>
                <c:pt idx="8">
                  <c:v>14485195.064807285</c:v>
                </c:pt>
                <c:pt idx="9">
                  <c:v>16172999.962847652</c:v>
                </c:pt>
                <c:pt idx="10">
                  <c:v>17815442.805165321</c:v>
                </c:pt>
                <c:pt idx="11">
                  <c:v>19306263.999999996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'FY12 Utilities'!$L$4:$L$5</c:f>
              <c:strCache>
                <c:ptCount val="1"/>
                <c:pt idx="0">
                  <c:v>Actual YTD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-4.0703514366833046E-2"/>
                  <c:y val="4.07949757194531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4.5226127074258916E-2"/>
                  <c:y val="5.64853509961658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layout>
                <c:manualLayout>
                  <c:x val="-3.9195976797691066E-2"/>
                  <c:y val="5.64853509961658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6.0301502765678569E-3"/>
                  <c:y val="4.70711258301382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'FY12 Utilities'!$H$6:$H$17</c:f>
              <c:strCache>
                <c:ptCount val="12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  <c:pt idx="6">
                  <c:v>April</c:v>
                </c:pt>
                <c:pt idx="7">
                  <c:v>May</c:v>
                </c:pt>
                <c:pt idx="8">
                  <c:v>June</c:v>
                </c:pt>
                <c:pt idx="9">
                  <c:v>July</c:v>
                </c:pt>
                <c:pt idx="10">
                  <c:v>August</c:v>
                </c:pt>
                <c:pt idx="11">
                  <c:v>September</c:v>
                </c:pt>
              </c:strCache>
            </c:strRef>
          </c:cat>
          <c:val>
            <c:numRef>
              <c:f>'FY12 Utilities'!$L$6:$L$17</c:f>
              <c:numCache>
                <c:formatCode>"$"#,##0</c:formatCode>
                <c:ptCount val="12"/>
                <c:pt idx="0">
                  <c:v>1347960.0533333332</c:v>
                </c:pt>
                <c:pt idx="1">
                  <c:v>2806574.1066666665</c:v>
                </c:pt>
                <c:pt idx="2">
                  <c:v>4426203.6500000004</c:v>
                </c:pt>
                <c:pt idx="3">
                  <c:v>6049969.1799999997</c:v>
                </c:pt>
                <c:pt idx="4">
                  <c:v>7640323.5399999991</c:v>
                </c:pt>
                <c:pt idx="5">
                  <c:v>9248432.2599999998</c:v>
                </c:pt>
                <c:pt idx="6">
                  <c:v>10603195.92</c:v>
                </c:pt>
                <c:pt idx="7">
                  <c:v>12046408.27</c:v>
                </c:pt>
                <c:pt idx="8">
                  <c:v>13580413.949999999</c:v>
                </c:pt>
                <c:pt idx="9">
                  <c:v>15070197.949999999</c:v>
                </c:pt>
                <c:pt idx="10">
                  <c:v>16484279.949999999</c:v>
                </c:pt>
                <c:pt idx="11">
                  <c:v>18873098.949999999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152576"/>
        <c:axId val="176154112"/>
      </c:lineChart>
      <c:catAx>
        <c:axId val="17615257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76154112"/>
        <c:crosses val="autoZero"/>
        <c:auto val="1"/>
        <c:lblAlgn val="ctr"/>
        <c:lblOffset val="100"/>
        <c:noMultiLvlLbl val="1"/>
      </c:catAx>
      <c:valAx>
        <c:axId val="176154112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1761525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Work Order Survey Scores </a:t>
            </a:r>
          </a:p>
          <a:p>
            <a:pPr>
              <a:defRPr/>
            </a:pPr>
            <a:r>
              <a:rPr lang="en-US"/>
              <a:t>1=Strongly disagree  5=Strongly agree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461345007150861E-2"/>
          <c:y val="0.12505197055238468"/>
          <c:w val="0.87377646059925163"/>
          <c:h val="0.74636842693003991"/>
        </c:manualLayout>
      </c:layout>
      <c:lineChart>
        <c:grouping val="standard"/>
        <c:varyColors val="0"/>
        <c:ser>
          <c:idx val="0"/>
          <c:order val="0"/>
          <c:tx>
            <c:strRef>
              <c:f>'Survey Work Orders'!$B$1:$B$2</c:f>
              <c:strCache>
                <c:ptCount val="1"/>
                <c:pt idx="0">
                  <c:v>Average Work Order Survey Scores 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'Survey Work Orders'!$A$15:$A$34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'Survey Work Orders'!$B$15:$B$34</c:f>
              <c:numCache>
                <c:formatCode>General</c:formatCode>
                <c:ptCount val="20"/>
                <c:pt idx="0">
                  <c:v>4.08</c:v>
                </c:pt>
                <c:pt idx="1">
                  <c:v>4.12</c:v>
                </c:pt>
                <c:pt idx="2">
                  <c:v>4.16</c:v>
                </c:pt>
                <c:pt idx="3" formatCode="0.00">
                  <c:v>4.5650000000000004</c:v>
                </c:pt>
                <c:pt idx="4">
                  <c:v>4.42</c:v>
                </c:pt>
                <c:pt idx="5">
                  <c:v>4.2300000000000004</c:v>
                </c:pt>
                <c:pt idx="6">
                  <c:v>4.1399999999999997</c:v>
                </c:pt>
                <c:pt idx="7">
                  <c:v>4.37</c:v>
                </c:pt>
                <c:pt idx="8">
                  <c:v>4.51</c:v>
                </c:pt>
                <c:pt idx="9">
                  <c:v>4.26</c:v>
                </c:pt>
                <c:pt idx="10">
                  <c:v>4.62</c:v>
                </c:pt>
                <c:pt idx="11">
                  <c:v>4.53</c:v>
                </c:pt>
                <c:pt idx="12">
                  <c:v>4.47</c:v>
                </c:pt>
                <c:pt idx="13">
                  <c:v>4.41</c:v>
                </c:pt>
                <c:pt idx="14">
                  <c:v>4.7300000000000004</c:v>
                </c:pt>
                <c:pt idx="15">
                  <c:v>4.8099999999999996</c:v>
                </c:pt>
                <c:pt idx="16">
                  <c:v>4.4800000000000004</c:v>
                </c:pt>
                <c:pt idx="17">
                  <c:v>4.34</c:v>
                </c:pt>
                <c:pt idx="18">
                  <c:v>4.58</c:v>
                </c:pt>
                <c:pt idx="19">
                  <c:v>4.45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373888"/>
        <c:axId val="150375424"/>
      </c:lineChart>
      <c:dateAx>
        <c:axId val="15037388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50375424"/>
        <c:crosses val="autoZero"/>
        <c:auto val="1"/>
        <c:lblOffset val="100"/>
        <c:baseTimeUnit val="months"/>
      </c:dateAx>
      <c:valAx>
        <c:axId val="150375424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Score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0373888"/>
        <c:crosses val="autoZero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74531126413626336"/>
          <c:y val="0.41561328161801109"/>
          <c:w val="0.18685339609301607"/>
          <c:h val="0.13227146688452771"/>
        </c:manualLayout>
      </c:layout>
      <c:overlay val="0"/>
    </c:legend>
    <c:plotVisOnly val="1"/>
    <c:dispBlanksAs val="gap"/>
    <c:showDLblsOverMax val="0"/>
  </c:chart>
  <c:printSettings>
    <c:headerFooter/>
    <c:pageMargins b="0.75" l="0.25" r="0.25" t="0.75" header="0.3" footer="0.3"/>
    <c:pageSetup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</a:t>
            </a:r>
          </a:p>
          <a:p>
            <a:pPr>
              <a:defRPr/>
            </a:pPr>
            <a:r>
              <a:rPr lang="en-US"/>
              <a:t> Custodial</a:t>
            </a:r>
            <a:r>
              <a:rPr lang="en-US" baseline="0"/>
              <a:t> </a:t>
            </a:r>
            <a:r>
              <a:rPr lang="en-US"/>
              <a:t>Maintenance</a:t>
            </a:r>
          </a:p>
        </c:rich>
      </c:tx>
      <c:layout>
        <c:manualLayout>
          <c:xMode val="edge"/>
          <c:yMode val="edge"/>
          <c:x val="0.30449272139159239"/>
          <c:y val="1.3870792964250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241632157439013E-2"/>
          <c:y val="0.21251749931329725"/>
          <c:w val="0.89453980032974967"/>
          <c:h val="0.55651651205346053"/>
        </c:manualLayout>
      </c:layout>
      <c:lineChart>
        <c:grouping val="standard"/>
        <c:varyColors val="0"/>
        <c:ser>
          <c:idx val="0"/>
          <c:order val="0"/>
          <c:tx>
            <c:strRef>
              <c:f>Custodial!$C$2</c:f>
              <c:strCache>
                <c:ptCount val="1"/>
                <c:pt idx="0">
                  <c:v>Total #</c:v>
                </c:pt>
              </c:strCache>
            </c:strRef>
          </c:tx>
          <c:cat>
            <c:numRef>
              <c:f>Custodial!$A$15:$A$34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Custodial!$C$15:$C$34</c:f>
              <c:numCache>
                <c:formatCode>General</c:formatCode>
                <c:ptCount val="20"/>
                <c:pt idx="0">
                  <c:v>100</c:v>
                </c:pt>
                <c:pt idx="1">
                  <c:v>67</c:v>
                </c:pt>
                <c:pt idx="2">
                  <c:v>56</c:v>
                </c:pt>
                <c:pt idx="3">
                  <c:v>102</c:v>
                </c:pt>
                <c:pt idx="4">
                  <c:v>81</c:v>
                </c:pt>
                <c:pt idx="5">
                  <c:v>90</c:v>
                </c:pt>
                <c:pt idx="6">
                  <c:v>77</c:v>
                </c:pt>
                <c:pt idx="7">
                  <c:v>120</c:v>
                </c:pt>
                <c:pt idx="8">
                  <c:v>83</c:v>
                </c:pt>
                <c:pt idx="9">
                  <c:v>83</c:v>
                </c:pt>
                <c:pt idx="10">
                  <c:v>80</c:v>
                </c:pt>
                <c:pt idx="11">
                  <c:v>72</c:v>
                </c:pt>
                <c:pt idx="12">
                  <c:v>109</c:v>
                </c:pt>
                <c:pt idx="13">
                  <c:v>99</c:v>
                </c:pt>
                <c:pt idx="14">
                  <c:v>105</c:v>
                </c:pt>
                <c:pt idx="15">
                  <c:v>133</c:v>
                </c:pt>
                <c:pt idx="16">
                  <c:v>105</c:v>
                </c:pt>
                <c:pt idx="17">
                  <c:v>116</c:v>
                </c:pt>
                <c:pt idx="18">
                  <c:v>99</c:v>
                </c:pt>
                <c:pt idx="19">
                  <c:v>123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Custodial!$E$2</c:f>
              <c:strCache>
                <c:ptCount val="1"/>
                <c:pt idx="0">
                  <c:v>  &gt; 30 Days Old</c:v>
                </c:pt>
              </c:strCache>
            </c:strRef>
          </c:tx>
          <c:cat>
            <c:numRef>
              <c:f>Custodial!$A$15:$A$34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Custodial!$E$15:$E$34</c:f>
              <c:numCache>
                <c:formatCode>General</c:formatCode>
                <c:ptCount val="20"/>
                <c:pt idx="0">
                  <c:v>0</c:v>
                </c:pt>
                <c:pt idx="1">
                  <c:v>7</c:v>
                </c:pt>
                <c:pt idx="2">
                  <c:v>1</c:v>
                </c:pt>
                <c:pt idx="3">
                  <c:v>2</c:v>
                </c:pt>
                <c:pt idx="4">
                  <c:v>9</c:v>
                </c:pt>
                <c:pt idx="5">
                  <c:v>18</c:v>
                </c:pt>
                <c:pt idx="6">
                  <c:v>27</c:v>
                </c:pt>
                <c:pt idx="7">
                  <c:v>21</c:v>
                </c:pt>
                <c:pt idx="8">
                  <c:v>30</c:v>
                </c:pt>
                <c:pt idx="9">
                  <c:v>19</c:v>
                </c:pt>
                <c:pt idx="10">
                  <c:v>14</c:v>
                </c:pt>
                <c:pt idx="11">
                  <c:v>37</c:v>
                </c:pt>
                <c:pt idx="12">
                  <c:v>39</c:v>
                </c:pt>
                <c:pt idx="13">
                  <c:v>39</c:v>
                </c:pt>
                <c:pt idx="14">
                  <c:v>49</c:v>
                </c:pt>
                <c:pt idx="15">
                  <c:v>63</c:v>
                </c:pt>
                <c:pt idx="16">
                  <c:v>58</c:v>
                </c:pt>
                <c:pt idx="17">
                  <c:v>63</c:v>
                </c:pt>
                <c:pt idx="18">
                  <c:v>58</c:v>
                </c:pt>
                <c:pt idx="19">
                  <c:v>56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303296"/>
        <c:axId val="153317376"/>
      </c:lineChart>
      <c:dateAx>
        <c:axId val="15330329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53317376"/>
        <c:crosses val="autoZero"/>
        <c:auto val="1"/>
        <c:lblOffset val="100"/>
        <c:baseTimeUnit val="months"/>
      </c:dateAx>
      <c:valAx>
        <c:axId val="153317376"/>
        <c:scaling>
          <c:orientation val="minMax"/>
          <c:min val="0"/>
        </c:scaling>
        <c:delete val="0"/>
        <c:axPos val="l"/>
        <c:majorGridlines/>
        <c:numFmt formatCode="#,##0_);[Red]\(#,##0\)" sourceLinked="0"/>
        <c:majorTickMark val="out"/>
        <c:minorTickMark val="none"/>
        <c:tickLblPos val="nextTo"/>
        <c:crossAx val="153303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</a:t>
            </a:r>
            <a:r>
              <a:rPr lang="en-US" baseline="0"/>
              <a:t> Time</a:t>
            </a:r>
          </a:p>
          <a:p>
            <a:pPr>
              <a:defRPr/>
            </a:pPr>
            <a:r>
              <a:rPr lang="en-US" u="none" baseline="0"/>
              <a:t>CUSTODIAL</a:t>
            </a:r>
            <a:endParaRPr lang="en-US" u="none"/>
          </a:p>
        </c:rich>
      </c:tx>
      <c:layout>
        <c:manualLayout>
          <c:xMode val="edge"/>
          <c:yMode val="edge"/>
          <c:x val="0.26818969804506654"/>
          <c:y val="2.2246603669041107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Custodial!$B$36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Custodial!$A$52:$A$71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Custodial!$B$52:$B$71</c:f>
              <c:numCache>
                <c:formatCode>0%</c:formatCode>
                <c:ptCount val="20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Custodial!$E$36</c:f>
              <c:strCache>
                <c:ptCount val="1"/>
                <c:pt idx="0">
                  <c:v>Actual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Custodial!$A$52:$A$71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Custodial!$E$52:$E$71</c:f>
              <c:numCache>
                <c:formatCode>0%</c:formatCode>
                <c:ptCount val="20"/>
                <c:pt idx="0">
                  <c:v>0.95408163265306123</c:v>
                </c:pt>
                <c:pt idx="1">
                  <c:v>0.95024875621890548</c:v>
                </c:pt>
                <c:pt idx="2">
                  <c:v>0.94799999999999995</c:v>
                </c:pt>
                <c:pt idx="3">
                  <c:v>0.95287958115183247</c:v>
                </c:pt>
                <c:pt idx="4">
                  <c:v>0.94017094017094016</c:v>
                </c:pt>
                <c:pt idx="5">
                  <c:v>0.96923076923076923</c:v>
                </c:pt>
                <c:pt idx="6">
                  <c:v>0.90948275862068961</c:v>
                </c:pt>
                <c:pt idx="7">
                  <c:v>0.92481203007518797</c:v>
                </c:pt>
                <c:pt idx="8">
                  <c:v>0.94660194174757284</c:v>
                </c:pt>
                <c:pt idx="9">
                  <c:v>0.96416938110749184</c:v>
                </c:pt>
                <c:pt idx="10">
                  <c:v>0.98283261802575106</c:v>
                </c:pt>
                <c:pt idx="11">
                  <c:v>0.93251533742331283</c:v>
                </c:pt>
                <c:pt idx="12">
                  <c:v>1</c:v>
                </c:pt>
                <c:pt idx="13">
                  <c:v>0.94907407407407407</c:v>
                </c:pt>
                <c:pt idx="14">
                  <c:v>0.94560669456066948</c:v>
                </c:pt>
                <c:pt idx="15">
                  <c:v>0.87790697674418605</c:v>
                </c:pt>
                <c:pt idx="16">
                  <c:v>0.9221789883268483</c:v>
                </c:pt>
                <c:pt idx="17">
                  <c:v>0.92207792207792205</c:v>
                </c:pt>
                <c:pt idx="18">
                  <c:v>0.90769230769230769</c:v>
                </c:pt>
                <c:pt idx="19">
                  <c:v>0.9360730593607306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351296"/>
        <c:axId val="153352832"/>
      </c:lineChart>
      <c:dateAx>
        <c:axId val="15335129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53352832"/>
        <c:crosses val="autoZero"/>
        <c:auto val="1"/>
        <c:lblOffset val="100"/>
        <c:baseTimeUnit val="months"/>
      </c:dateAx>
      <c:valAx>
        <c:axId val="153352832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3351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Custodial Backlog - Age Distribution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35975420639549477"/>
          <c:y val="2.1462101435468152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Custodial!$B$93</c:f>
              <c:strCache>
                <c:ptCount val="1"/>
                <c:pt idx="0">
                  <c:v>Total #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Custodial!$A$101:$A$120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Custodial!$B$101:$B$120</c:f>
              <c:numCache>
                <c:formatCode>General</c:formatCode>
                <c:ptCount val="20"/>
                <c:pt idx="0">
                  <c:v>100</c:v>
                </c:pt>
                <c:pt idx="1">
                  <c:v>67</c:v>
                </c:pt>
                <c:pt idx="2">
                  <c:v>56</c:v>
                </c:pt>
                <c:pt idx="3">
                  <c:v>102</c:v>
                </c:pt>
                <c:pt idx="4">
                  <c:v>81</c:v>
                </c:pt>
                <c:pt idx="5">
                  <c:v>90</c:v>
                </c:pt>
                <c:pt idx="6">
                  <c:v>77</c:v>
                </c:pt>
                <c:pt idx="7">
                  <c:v>120</c:v>
                </c:pt>
                <c:pt idx="8">
                  <c:v>83</c:v>
                </c:pt>
                <c:pt idx="9" formatCode="#,##0_);[Red]\(#,##0\)">
                  <c:v>83</c:v>
                </c:pt>
                <c:pt idx="10">
                  <c:v>80</c:v>
                </c:pt>
                <c:pt idx="11">
                  <c:v>72</c:v>
                </c:pt>
                <c:pt idx="12">
                  <c:v>109</c:v>
                </c:pt>
                <c:pt idx="13">
                  <c:v>99</c:v>
                </c:pt>
                <c:pt idx="14">
                  <c:v>105</c:v>
                </c:pt>
                <c:pt idx="15">
                  <c:v>133</c:v>
                </c:pt>
                <c:pt idx="16">
                  <c:v>105</c:v>
                </c:pt>
                <c:pt idx="17">
                  <c:v>116</c:v>
                </c:pt>
                <c:pt idx="18">
                  <c:v>99</c:v>
                </c:pt>
                <c:pt idx="19">
                  <c:v>123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Custodial!$C$93</c:f>
              <c:strCache>
                <c:ptCount val="1"/>
                <c:pt idx="0">
                  <c:v>&lt; 30 Days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Custodial!$A$101:$A$120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Custodial!$C$101:$C$120</c:f>
              <c:numCache>
                <c:formatCode>#,##0_);[Red]\(#,##0\)</c:formatCode>
                <c:ptCount val="20"/>
                <c:pt idx="0">
                  <c:v>100</c:v>
                </c:pt>
                <c:pt idx="1">
                  <c:v>60</c:v>
                </c:pt>
                <c:pt idx="2" formatCode="General">
                  <c:v>55</c:v>
                </c:pt>
                <c:pt idx="3">
                  <c:v>100</c:v>
                </c:pt>
                <c:pt idx="4">
                  <c:v>72</c:v>
                </c:pt>
                <c:pt idx="5" formatCode="General">
                  <c:v>72</c:v>
                </c:pt>
                <c:pt idx="6" formatCode="General">
                  <c:v>50</c:v>
                </c:pt>
                <c:pt idx="7" formatCode="General">
                  <c:v>99</c:v>
                </c:pt>
                <c:pt idx="8" formatCode="General">
                  <c:v>53</c:v>
                </c:pt>
                <c:pt idx="9">
                  <c:v>64</c:v>
                </c:pt>
                <c:pt idx="10" formatCode="General">
                  <c:v>66</c:v>
                </c:pt>
                <c:pt idx="11" formatCode="General">
                  <c:v>35</c:v>
                </c:pt>
                <c:pt idx="12" formatCode="General">
                  <c:v>70</c:v>
                </c:pt>
                <c:pt idx="13" formatCode="General">
                  <c:v>60</c:v>
                </c:pt>
                <c:pt idx="14" formatCode="General">
                  <c:v>56</c:v>
                </c:pt>
                <c:pt idx="15" formatCode="General">
                  <c:v>70</c:v>
                </c:pt>
                <c:pt idx="16" formatCode="General">
                  <c:v>47</c:v>
                </c:pt>
                <c:pt idx="17" formatCode="General">
                  <c:v>53</c:v>
                </c:pt>
                <c:pt idx="18" formatCode="General">
                  <c:v>41</c:v>
                </c:pt>
                <c:pt idx="19" formatCode="General">
                  <c:v>67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Custodial!$D$93</c:f>
              <c:strCache>
                <c:ptCount val="1"/>
                <c:pt idx="0">
                  <c:v>31-60 Days</c:v>
                </c:pt>
              </c:strCache>
            </c:strRef>
          </c:tx>
          <c:dLbls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Custodial!$A$101:$A$120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Custodial!$D$101:$D$120</c:f>
              <c:numCache>
                <c:formatCode>General</c:formatCode>
                <c:ptCount val="20"/>
                <c:pt idx="0">
                  <c:v>0</c:v>
                </c:pt>
                <c:pt idx="1">
                  <c:v>7</c:v>
                </c:pt>
                <c:pt idx="2">
                  <c:v>1</c:v>
                </c:pt>
                <c:pt idx="3">
                  <c:v>2</c:v>
                </c:pt>
                <c:pt idx="4">
                  <c:v>9</c:v>
                </c:pt>
                <c:pt idx="5">
                  <c:v>10</c:v>
                </c:pt>
                <c:pt idx="6">
                  <c:v>12</c:v>
                </c:pt>
                <c:pt idx="7">
                  <c:v>6</c:v>
                </c:pt>
                <c:pt idx="8">
                  <c:v>12</c:v>
                </c:pt>
                <c:pt idx="9">
                  <c:v>1</c:v>
                </c:pt>
                <c:pt idx="10">
                  <c:v>3</c:v>
                </c:pt>
                <c:pt idx="11">
                  <c:v>26</c:v>
                </c:pt>
                <c:pt idx="12">
                  <c:v>3</c:v>
                </c:pt>
                <c:pt idx="13">
                  <c:v>4</c:v>
                </c:pt>
                <c:pt idx="14">
                  <c:v>13</c:v>
                </c:pt>
                <c:pt idx="15">
                  <c:v>23</c:v>
                </c:pt>
                <c:pt idx="16">
                  <c:v>7</c:v>
                </c:pt>
                <c:pt idx="17">
                  <c:v>19</c:v>
                </c:pt>
                <c:pt idx="18">
                  <c:v>13</c:v>
                </c:pt>
                <c:pt idx="19">
                  <c:v>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Custodial!$E$93</c:f>
              <c:strCache>
                <c:ptCount val="1"/>
                <c:pt idx="0">
                  <c:v>61-90 Days </c:v>
                </c:pt>
              </c:strCache>
            </c:strRef>
          </c:tx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Custodial!$A$101:$A$120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Custodial!$E$101:$E$120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</c:v>
                </c:pt>
                <c:pt idx="6">
                  <c:v>8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25</c:v>
                </c:pt>
                <c:pt idx="13">
                  <c:v>0</c:v>
                </c:pt>
                <c:pt idx="14">
                  <c:v>1</c:v>
                </c:pt>
                <c:pt idx="15">
                  <c:v>4</c:v>
                </c:pt>
                <c:pt idx="16">
                  <c:v>14</c:v>
                </c:pt>
                <c:pt idx="17">
                  <c:v>6</c:v>
                </c:pt>
                <c:pt idx="18">
                  <c:v>3</c:v>
                </c:pt>
                <c:pt idx="19">
                  <c:v>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Custodial!$F$93</c:f>
              <c:strCache>
                <c:ptCount val="1"/>
                <c:pt idx="0">
                  <c:v>91-180 Days</c:v>
                </c:pt>
              </c:strCache>
            </c:strRef>
          </c:tx>
          <c:dLbls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Custodial!$A$101:$A$120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Custodial!$F$101:$F$120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</c:v>
                </c:pt>
                <c:pt idx="7">
                  <c:v>14</c:v>
                </c:pt>
                <c:pt idx="8">
                  <c:v>15</c:v>
                </c:pt>
                <c:pt idx="9">
                  <c:v>9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26</c:v>
                </c:pt>
                <c:pt idx="14">
                  <c:v>25</c:v>
                </c:pt>
                <c:pt idx="15">
                  <c:v>26</c:v>
                </c:pt>
                <c:pt idx="16">
                  <c:v>2</c:v>
                </c:pt>
                <c:pt idx="17">
                  <c:v>3</c:v>
                </c:pt>
                <c:pt idx="18">
                  <c:v>7</c:v>
                </c:pt>
                <c:pt idx="19">
                  <c:v>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Custodial!$G$93</c:f>
              <c:strCache>
                <c:ptCount val="1"/>
                <c:pt idx="0">
                  <c:v>181-365 Days</c:v>
                </c:pt>
              </c:strCache>
            </c:strRef>
          </c:tx>
          <c:cat>
            <c:numRef>
              <c:f>Custodial!$A$101:$A$120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Custodial!$G$101:$G$120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9</c:v>
                </c:pt>
                <c:pt idx="13">
                  <c:v>9</c:v>
                </c:pt>
                <c:pt idx="14">
                  <c:v>10</c:v>
                </c:pt>
                <c:pt idx="15">
                  <c:v>7</c:v>
                </c:pt>
                <c:pt idx="16">
                  <c:v>28</c:v>
                </c:pt>
                <c:pt idx="17">
                  <c:v>28</c:v>
                </c:pt>
                <c:pt idx="18">
                  <c:v>27</c:v>
                </c:pt>
                <c:pt idx="19">
                  <c:v>26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Custodial!$H$93</c:f>
              <c:strCache>
                <c:ptCount val="1"/>
                <c:pt idx="0">
                  <c:v>&gt;365 Days</c:v>
                </c:pt>
              </c:strCache>
            </c:strRef>
          </c:tx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Custodial!$A$101:$A$120</c:f>
              <c:numCache>
                <c:formatCode>mmm\-yy</c:formatCode>
                <c:ptCount val="20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  <c:pt idx="9">
                  <c:v>41548</c:v>
                </c:pt>
                <c:pt idx="10">
                  <c:v>41579</c:v>
                </c:pt>
                <c:pt idx="11">
                  <c:v>41609</c:v>
                </c:pt>
                <c:pt idx="12">
                  <c:v>41640</c:v>
                </c:pt>
                <c:pt idx="13">
                  <c:v>41671</c:v>
                </c:pt>
                <c:pt idx="14">
                  <c:v>41699</c:v>
                </c:pt>
                <c:pt idx="15">
                  <c:v>41730</c:v>
                </c:pt>
                <c:pt idx="16">
                  <c:v>41760</c:v>
                </c:pt>
                <c:pt idx="17">
                  <c:v>41791</c:v>
                </c:pt>
                <c:pt idx="18">
                  <c:v>41821</c:v>
                </c:pt>
                <c:pt idx="19">
                  <c:v>41852</c:v>
                </c:pt>
              </c:numCache>
            </c:numRef>
          </c:cat>
          <c:val>
            <c:numRef>
              <c:f>Custodial!$H$101:$H$120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404928"/>
        <c:axId val="153406464"/>
      </c:lineChart>
      <c:dateAx>
        <c:axId val="153404928"/>
        <c:scaling>
          <c:orientation val="minMax"/>
        </c:scaling>
        <c:delete val="1"/>
        <c:axPos val="b"/>
        <c:numFmt formatCode="mmm\-yy" sourceLinked="1"/>
        <c:majorTickMark val="none"/>
        <c:minorTickMark val="none"/>
        <c:tickLblPos val="nextTo"/>
        <c:crossAx val="153406464"/>
        <c:crosses val="autoZero"/>
        <c:auto val="1"/>
        <c:lblOffset val="100"/>
        <c:baseTimeUnit val="months"/>
      </c:dateAx>
      <c:valAx>
        <c:axId val="153406464"/>
        <c:scaling>
          <c:orientation val="minMax"/>
          <c:max val="16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</a:t>
                </a:r>
                <a:r>
                  <a:rPr lang="en-US" baseline="0"/>
                  <a:t> work orders 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34049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4" Type="http://schemas.openxmlformats.org/officeDocument/2006/relationships/chart" Target="../charts/chart3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2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9.xml"/><Relationship Id="rId3" Type="http://schemas.openxmlformats.org/officeDocument/2006/relationships/chart" Target="../charts/chart34.xml"/><Relationship Id="rId7" Type="http://schemas.openxmlformats.org/officeDocument/2006/relationships/chart" Target="../charts/chart38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Relationship Id="rId6" Type="http://schemas.openxmlformats.org/officeDocument/2006/relationships/chart" Target="../charts/chart37.xml"/><Relationship Id="rId5" Type="http://schemas.openxmlformats.org/officeDocument/2006/relationships/chart" Target="../charts/chart36.xml"/><Relationship Id="rId4" Type="http://schemas.openxmlformats.org/officeDocument/2006/relationships/chart" Target="../charts/chart35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3.xml"/><Relationship Id="rId1" Type="http://schemas.openxmlformats.org/officeDocument/2006/relationships/chart" Target="../charts/chart42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chart" Target="../charts/chart44.xml"/><Relationship Id="rId4" Type="http://schemas.openxmlformats.org/officeDocument/2006/relationships/chart" Target="../charts/chart47.xm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9.xml"/><Relationship Id="rId1" Type="http://schemas.openxmlformats.org/officeDocument/2006/relationships/chart" Target="../charts/chart48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87084</xdr:colOff>
      <xdr:row>1</xdr:row>
      <xdr:rowOff>130628</xdr:rowOff>
    </xdr:from>
    <xdr:to>
      <xdr:col>24</xdr:col>
      <xdr:colOff>174171</xdr:colOff>
      <xdr:row>32</xdr:row>
      <xdr:rowOff>65314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206830</xdr:colOff>
      <xdr:row>34</xdr:row>
      <xdr:rowOff>119742</xdr:rowOff>
    </xdr:from>
    <xdr:to>
      <xdr:col>24</xdr:col>
      <xdr:colOff>293917</xdr:colOff>
      <xdr:row>69</xdr:row>
      <xdr:rowOff>32657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185003</xdr:colOff>
      <xdr:row>0</xdr:row>
      <xdr:rowOff>76200</xdr:rowOff>
    </xdr:from>
    <xdr:to>
      <xdr:col>14</xdr:col>
      <xdr:colOff>9525</xdr:colOff>
      <xdr:row>22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47625</xdr:colOff>
      <xdr:row>42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4672965" y="229971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182879</xdr:colOff>
      <xdr:row>72</xdr:row>
      <xdr:rowOff>19049</xdr:rowOff>
    </xdr:from>
    <xdr:to>
      <xdr:col>9</xdr:col>
      <xdr:colOff>809625</xdr:colOff>
      <xdr:row>91</xdr:row>
      <xdr:rowOff>76200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11</xdr:col>
      <xdr:colOff>47625</xdr:colOff>
      <xdr:row>43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7684943" y="56717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133349</xdr:colOff>
      <xdr:row>122</xdr:row>
      <xdr:rowOff>147636</xdr:rowOff>
    </xdr:from>
    <xdr:to>
      <xdr:col>13</xdr:col>
      <xdr:colOff>85725</xdr:colOff>
      <xdr:row>150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90057</xdr:colOff>
      <xdr:row>1</xdr:row>
      <xdr:rowOff>171449</xdr:rowOff>
    </xdr:from>
    <xdr:to>
      <xdr:col>14</xdr:col>
      <xdr:colOff>561975</xdr:colOff>
      <xdr:row>20</xdr:row>
      <xdr:rowOff>66674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12989</xdr:colOff>
      <xdr:row>9</xdr:row>
      <xdr:rowOff>121227</xdr:rowOff>
    </xdr:from>
    <xdr:to>
      <xdr:col>11</xdr:col>
      <xdr:colOff>207819</xdr:colOff>
      <xdr:row>10</xdr:row>
      <xdr:rowOff>159327</xdr:rowOff>
    </xdr:to>
    <xdr:sp macro="" textlink="">
      <xdr:nvSpPr>
        <xdr:cNvPr id="9" name="TextBox 8"/>
        <xdr:cNvSpPr txBox="1"/>
      </xdr:nvSpPr>
      <xdr:spPr>
        <a:xfrm>
          <a:off x="7300480" y="2289463"/>
          <a:ext cx="804430" cy="2182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endParaRPr lang="en-US" sz="800"/>
        </a:p>
      </xdr:txBody>
    </xdr:sp>
    <xdr:clientData/>
  </xdr:twoCellAnchor>
  <xdr:oneCellAnchor>
    <xdr:from>
      <xdr:col>11</xdr:col>
      <xdr:colOff>47625</xdr:colOff>
      <xdr:row>36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6724650" y="2532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180975</xdr:colOff>
      <xdr:row>71</xdr:row>
      <xdr:rowOff>76201</xdr:rowOff>
    </xdr:from>
    <xdr:to>
      <xdr:col>10</xdr:col>
      <xdr:colOff>247650</xdr:colOff>
      <xdr:row>91</xdr:row>
      <xdr:rowOff>9525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114299</xdr:colOff>
      <xdr:row>121</xdr:row>
      <xdr:rowOff>133349</xdr:rowOff>
    </xdr:from>
    <xdr:to>
      <xdr:col>11</xdr:col>
      <xdr:colOff>714374</xdr:colOff>
      <xdr:row>147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0.15936</cdr:x>
      <cdr:y>0.01951</cdr:y>
    </cdr:from>
    <cdr:to>
      <cdr:x>0.89866</cdr:x>
      <cdr:y>0.13402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958649" y="68572"/>
          <a:ext cx="4447220" cy="4024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 i="0" baseline="0">
              <a:effectLst/>
              <a:latin typeface="+mn-lt"/>
              <a:ea typeface="+mn-ea"/>
              <a:cs typeface="+mn-cs"/>
            </a:rPr>
            <a:t>Work Order Backlog - Grounds Maintenance</a:t>
          </a:r>
          <a:endParaRPr lang="en-US" sz="1800">
            <a:effectLst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119210</xdr:colOff>
      <xdr:row>1</xdr:row>
      <xdr:rowOff>86925</xdr:rowOff>
    </xdr:from>
    <xdr:to>
      <xdr:col>15</xdr:col>
      <xdr:colOff>38100</xdr:colOff>
      <xdr:row>22</xdr:row>
      <xdr:rowOff>47625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202722</xdr:colOff>
      <xdr:row>72</xdr:row>
      <xdr:rowOff>80095</xdr:rowOff>
    </xdr:from>
    <xdr:to>
      <xdr:col>9</xdr:col>
      <xdr:colOff>676275</xdr:colOff>
      <xdr:row>94</xdr:row>
      <xdr:rowOff>133351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190500</xdr:colOff>
      <xdr:row>125</xdr:row>
      <xdr:rowOff>152400</xdr:rowOff>
    </xdr:from>
    <xdr:to>
      <xdr:col>11</xdr:col>
      <xdr:colOff>161925</xdr:colOff>
      <xdr:row>151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47625</xdr:colOff>
      <xdr:row>14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6524625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9</xdr:col>
      <xdr:colOff>345278</xdr:colOff>
      <xdr:row>25</xdr:row>
      <xdr:rowOff>169333</xdr:rowOff>
    </xdr:from>
    <xdr:to>
      <xdr:col>23</xdr:col>
      <xdr:colOff>486833</xdr:colOff>
      <xdr:row>56</xdr:row>
      <xdr:rowOff>31749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507998</xdr:colOff>
      <xdr:row>1</xdr:row>
      <xdr:rowOff>30690</xdr:rowOff>
    </xdr:from>
    <xdr:to>
      <xdr:col>21</xdr:col>
      <xdr:colOff>338666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135730</xdr:colOff>
      <xdr:row>0</xdr:row>
      <xdr:rowOff>176213</xdr:rowOff>
    </xdr:from>
    <xdr:to>
      <xdr:col>18</xdr:col>
      <xdr:colOff>523875</xdr:colOff>
      <xdr:row>23</xdr:row>
      <xdr:rowOff>11906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10</xdr:col>
      <xdr:colOff>47625</xdr:colOff>
      <xdr:row>38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6524625" y="7058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8</xdr:col>
      <xdr:colOff>142876</xdr:colOff>
      <xdr:row>34</xdr:row>
      <xdr:rowOff>76200</xdr:rowOff>
    </xdr:from>
    <xdr:to>
      <xdr:col>18</xdr:col>
      <xdr:colOff>523876</xdr:colOff>
      <xdr:row>55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324112</xdr:colOff>
      <xdr:row>97</xdr:row>
      <xdr:rowOff>116417</xdr:rowOff>
    </xdr:from>
    <xdr:to>
      <xdr:col>13</xdr:col>
      <xdr:colOff>539751</xdr:colOff>
      <xdr:row>127</xdr:row>
      <xdr:rowOff>169333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135730</xdr:colOff>
      <xdr:row>0</xdr:row>
      <xdr:rowOff>176213</xdr:rowOff>
    </xdr:from>
    <xdr:to>
      <xdr:col>17</xdr:col>
      <xdr:colOff>523875</xdr:colOff>
      <xdr:row>25</xdr:row>
      <xdr:rowOff>11906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47625</xdr:colOff>
      <xdr:row>30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4672965" y="229971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267012</xdr:colOff>
      <xdr:row>26</xdr:row>
      <xdr:rowOff>354691</xdr:rowOff>
    </xdr:from>
    <xdr:to>
      <xdr:col>15</xdr:col>
      <xdr:colOff>500063</xdr:colOff>
      <xdr:row>49</xdr:row>
      <xdr:rowOff>154782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107154</xdr:colOff>
      <xdr:row>66</xdr:row>
      <xdr:rowOff>152400</xdr:rowOff>
    </xdr:from>
    <xdr:to>
      <xdr:col>14</xdr:col>
      <xdr:colOff>504824</xdr:colOff>
      <xdr:row>94</xdr:row>
      <xdr:rowOff>121444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136310</xdr:colOff>
      <xdr:row>1</xdr:row>
      <xdr:rowOff>45818</xdr:rowOff>
    </xdr:from>
    <xdr:to>
      <xdr:col>15</xdr:col>
      <xdr:colOff>84667</xdr:colOff>
      <xdr:row>18</xdr:row>
      <xdr:rowOff>105832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47625</xdr:colOff>
      <xdr:row>32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5553075" y="2578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0.29077</cdr:x>
      <cdr:y>0.2703</cdr:y>
    </cdr:from>
    <cdr:to>
      <cdr:x>0.39958</cdr:x>
      <cdr:y>0.34761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73358" y="1120054"/>
          <a:ext cx="588818" cy="3203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0.38451</cdr:x>
      <cdr:y>0.06174</cdr:y>
    </cdr:from>
    <cdr:to>
      <cdr:x>0.617</cdr:x>
      <cdr:y>0.13482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982061" y="181407"/>
          <a:ext cx="1198418" cy="214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n-US" sz="9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104560</xdr:colOff>
      <xdr:row>27</xdr:row>
      <xdr:rowOff>77569</xdr:rowOff>
    </xdr:from>
    <xdr:to>
      <xdr:col>9</xdr:col>
      <xdr:colOff>211667</xdr:colOff>
      <xdr:row>47</xdr:row>
      <xdr:rowOff>95249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47625</xdr:colOff>
      <xdr:row>133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4314825" y="274300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173759</xdr:colOff>
      <xdr:row>130</xdr:row>
      <xdr:rowOff>59749</xdr:rowOff>
    </xdr:from>
    <xdr:to>
      <xdr:col>9</xdr:col>
      <xdr:colOff>444500</xdr:colOff>
      <xdr:row>154</xdr:row>
      <xdr:rowOff>52917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48489</xdr:colOff>
      <xdr:row>67</xdr:row>
      <xdr:rowOff>137584</xdr:rowOff>
    </xdr:from>
    <xdr:to>
      <xdr:col>15</xdr:col>
      <xdr:colOff>243416</xdr:colOff>
      <xdr:row>99</xdr:row>
      <xdr:rowOff>169334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130559</xdr:colOff>
      <xdr:row>174</xdr:row>
      <xdr:rowOff>102464</xdr:rowOff>
    </xdr:from>
    <xdr:to>
      <xdr:col>18</xdr:col>
      <xdr:colOff>232833</xdr:colOff>
      <xdr:row>201</xdr:row>
      <xdr:rowOff>148167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116417</xdr:colOff>
      <xdr:row>1</xdr:row>
      <xdr:rowOff>52918</xdr:rowOff>
    </xdr:from>
    <xdr:to>
      <xdr:col>23</xdr:col>
      <xdr:colOff>518583</xdr:colOff>
      <xdr:row>28</xdr:row>
      <xdr:rowOff>52916</xdr:rowOff>
    </xdr:to>
    <xdr:graphicFrame macro="">
      <xdr:nvGraphicFramePr>
        <xdr:cNvPr id="3" name="Chart 2" title="Curb Appeal III - Project % Complete Per Week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33</xdr:row>
      <xdr:rowOff>0</xdr:rowOff>
    </xdr:from>
    <xdr:to>
      <xdr:col>23</xdr:col>
      <xdr:colOff>402166</xdr:colOff>
      <xdr:row>62</xdr:row>
      <xdr:rowOff>169331</xdr:rowOff>
    </xdr:to>
    <xdr:graphicFrame macro="">
      <xdr:nvGraphicFramePr>
        <xdr:cNvPr id="4" name="Chart 3" title="Curb Appeal III - Project % Complete Per Week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0.29077</cdr:x>
      <cdr:y>0.2703</cdr:y>
    </cdr:from>
    <cdr:to>
      <cdr:x>0.39958</cdr:x>
      <cdr:y>0.34761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73358" y="1120054"/>
          <a:ext cx="588818" cy="3203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0.38451</cdr:x>
      <cdr:y>0.06174</cdr:y>
    </cdr:from>
    <cdr:to>
      <cdr:x>0.617</cdr:x>
      <cdr:y>0.13482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982061" y="181407"/>
          <a:ext cx="1198418" cy="214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n-US" sz="900"/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0.79485</cdr:x>
      <cdr:y>0.01954</cdr:y>
    </cdr:from>
    <cdr:to>
      <cdr:x>0.97408</cdr:x>
      <cdr:y>0.06969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00972" y="80964"/>
          <a:ext cx="969818" cy="207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0.41605</cdr:x>
      <cdr:y>0.07387</cdr:y>
    </cdr:from>
    <cdr:to>
      <cdr:x>0.64433</cdr:x>
      <cdr:y>0.13865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285135" y="312532"/>
          <a:ext cx="1253838" cy="2740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en-US" sz="1100"/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131924</xdr:colOff>
      <xdr:row>70</xdr:row>
      <xdr:rowOff>59531</xdr:rowOff>
    </xdr:from>
    <xdr:to>
      <xdr:col>7</xdr:col>
      <xdr:colOff>464345</xdr:colOff>
      <xdr:row>85</xdr:row>
      <xdr:rowOff>171451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559594</xdr:colOff>
      <xdr:row>111</xdr:row>
      <xdr:rowOff>59531</xdr:rowOff>
    </xdr:from>
    <xdr:to>
      <xdr:col>7</xdr:col>
      <xdr:colOff>381000</xdr:colOff>
      <xdr:row>126</xdr:row>
      <xdr:rowOff>130969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547688</xdr:colOff>
      <xdr:row>111</xdr:row>
      <xdr:rowOff>47625</xdr:rowOff>
    </xdr:from>
    <xdr:to>
      <xdr:col>16</xdr:col>
      <xdr:colOff>464344</xdr:colOff>
      <xdr:row>127</xdr:row>
      <xdr:rowOff>202406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</xdr:colOff>
      <xdr:row>70</xdr:row>
      <xdr:rowOff>95249</xdr:rowOff>
    </xdr:from>
    <xdr:to>
      <xdr:col>16</xdr:col>
      <xdr:colOff>83345</xdr:colOff>
      <xdr:row>86</xdr:row>
      <xdr:rowOff>44765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104776</xdr:colOff>
      <xdr:row>26</xdr:row>
      <xdr:rowOff>11906</xdr:rowOff>
    </xdr:from>
    <xdr:to>
      <xdr:col>7</xdr:col>
      <xdr:colOff>297657</xdr:colOff>
      <xdr:row>43</xdr:row>
      <xdr:rowOff>130967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450532</xdr:colOff>
      <xdr:row>26</xdr:row>
      <xdr:rowOff>23813</xdr:rowOff>
    </xdr:from>
    <xdr:to>
      <xdr:col>15</xdr:col>
      <xdr:colOff>369093</xdr:colOff>
      <xdr:row>43</xdr:row>
      <xdr:rowOff>107155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285751</xdr:colOff>
      <xdr:row>150</xdr:row>
      <xdr:rowOff>35719</xdr:rowOff>
    </xdr:from>
    <xdr:to>
      <xdr:col>7</xdr:col>
      <xdr:colOff>192881</xdr:colOff>
      <xdr:row>167</xdr:row>
      <xdr:rowOff>95725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381000</xdr:colOff>
      <xdr:row>150</xdr:row>
      <xdr:rowOff>35719</xdr:rowOff>
    </xdr:from>
    <xdr:to>
      <xdr:col>16</xdr:col>
      <xdr:colOff>11906</xdr:colOff>
      <xdr:row>167</xdr:row>
      <xdr:rowOff>142874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379096</xdr:colOff>
      <xdr:row>2</xdr:row>
      <xdr:rowOff>441961</xdr:rowOff>
    </xdr:from>
    <xdr:to>
      <xdr:col>19</xdr:col>
      <xdr:colOff>579120</xdr:colOff>
      <xdr:row>27</xdr:row>
      <xdr:rowOff>7621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571500</xdr:colOff>
      <xdr:row>38</xdr:row>
      <xdr:rowOff>91440</xdr:rowOff>
    </xdr:from>
    <xdr:to>
      <xdr:col>20</xdr:col>
      <xdr:colOff>129540</xdr:colOff>
      <xdr:row>60</xdr:row>
      <xdr:rowOff>118110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53340</xdr:colOff>
      <xdr:row>1</xdr:row>
      <xdr:rowOff>34290</xdr:rowOff>
    </xdr:from>
    <xdr:to>
      <xdr:col>27</xdr:col>
      <xdr:colOff>22860</xdr:colOff>
      <xdr:row>17</xdr:row>
      <xdr:rowOff>175260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68580</xdr:colOff>
      <xdr:row>18</xdr:row>
      <xdr:rowOff>34290</xdr:rowOff>
    </xdr:from>
    <xdr:to>
      <xdr:col>27</xdr:col>
      <xdr:colOff>0</xdr:colOff>
      <xdr:row>38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71</xdr:row>
      <xdr:rowOff>106680</xdr:rowOff>
    </xdr:from>
    <xdr:to>
      <xdr:col>9</xdr:col>
      <xdr:colOff>175260</xdr:colOff>
      <xdr:row>93</xdr:row>
      <xdr:rowOff>175260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49</xdr:row>
      <xdr:rowOff>175260</xdr:rowOff>
    </xdr:from>
    <xdr:to>
      <xdr:col>9</xdr:col>
      <xdr:colOff>144780</xdr:colOff>
      <xdr:row>71</xdr:row>
      <xdr:rowOff>68580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9</xdr:col>
      <xdr:colOff>182880</xdr:colOff>
      <xdr:row>19</xdr:row>
      <xdr:rowOff>128270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167640</xdr:colOff>
      <xdr:row>40</xdr:row>
      <xdr:rowOff>31750</xdr:rowOff>
    </xdr:to>
    <xdr:graphicFrame macro="">
      <xdr:nvGraphicFramePr>
        <xdr:cNvPr id="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53340</xdr:colOff>
      <xdr:row>1</xdr:row>
      <xdr:rowOff>34290</xdr:rowOff>
    </xdr:from>
    <xdr:to>
      <xdr:col>31</xdr:col>
      <xdr:colOff>22860</xdr:colOff>
      <xdr:row>17</xdr:row>
      <xdr:rowOff>175260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68580</xdr:colOff>
      <xdr:row>18</xdr:row>
      <xdr:rowOff>34290</xdr:rowOff>
    </xdr:from>
    <xdr:to>
      <xdr:col>31</xdr:col>
      <xdr:colOff>0</xdr:colOff>
      <xdr:row>38</xdr:row>
      <xdr:rowOff>114300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364068</xdr:colOff>
      <xdr:row>0</xdr:row>
      <xdr:rowOff>127000</xdr:rowOff>
    </xdr:from>
    <xdr:to>
      <xdr:col>28</xdr:col>
      <xdr:colOff>465667</xdr:colOff>
      <xdr:row>17</xdr:row>
      <xdr:rowOff>169333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376767</xdr:colOff>
      <xdr:row>18</xdr:row>
      <xdr:rowOff>59267</xdr:rowOff>
    </xdr:from>
    <xdr:to>
      <xdr:col>28</xdr:col>
      <xdr:colOff>503767</xdr:colOff>
      <xdr:row>38</xdr:row>
      <xdr:rowOff>177800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0.69556</cdr:x>
      <cdr:y>0.04289</cdr:y>
    </cdr:from>
    <cdr:to>
      <cdr:x>0.92339</cdr:x>
      <cdr:y>0.13093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841999" y="160866"/>
          <a:ext cx="1913468" cy="330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Orange</a:t>
          </a:r>
          <a:r>
            <a:rPr lang="en-US" sz="1100" baseline="0"/>
            <a:t> color is estimated</a:t>
          </a:r>
          <a:endParaRPr lang="en-US" sz="1100"/>
        </a:p>
      </cdr:txBody>
    </cdr:sp>
  </cdr:relSizeAnchor>
  <cdr:relSizeAnchor xmlns:cdr="http://schemas.openxmlformats.org/drawingml/2006/chartDrawing">
    <cdr:from>
      <cdr:x>0.73151</cdr:x>
      <cdr:y>0.05869</cdr:y>
    </cdr:from>
    <cdr:to>
      <cdr:x>0.95745</cdr:x>
      <cdr:y>0.13093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6112930" y="220133"/>
          <a:ext cx="1888067" cy="270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0.72613</cdr:x>
      <cdr:y>0.04812</cdr:y>
    </cdr:from>
    <cdr:to>
      <cdr:x>0.88492</cdr:x>
      <cdr:y>0.16736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117167" y="194733"/>
          <a:ext cx="1337733" cy="482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0.71407</cdr:x>
      <cdr:y>0.03975</cdr:y>
    </cdr:from>
    <cdr:to>
      <cdr:x>0.97437</cdr:x>
      <cdr:y>0.12134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015566" y="160867"/>
          <a:ext cx="2192868" cy="330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0.06474</cdr:x>
      <cdr:y>0.02807</cdr:y>
    </cdr:from>
    <cdr:to>
      <cdr:x>0.91322</cdr:x>
      <cdr:y>0.10581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97417" y="137583"/>
          <a:ext cx="6519333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0.06474</cdr:x>
      <cdr:y>0.02807</cdr:y>
    </cdr:from>
    <cdr:to>
      <cdr:x>0.91322</cdr:x>
      <cdr:y>0.10581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97417" y="137583"/>
          <a:ext cx="6519333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147638</xdr:colOff>
      <xdr:row>5</xdr:row>
      <xdr:rowOff>130970</xdr:rowOff>
    </xdr:from>
    <xdr:to>
      <xdr:col>16</xdr:col>
      <xdr:colOff>273843</xdr:colOff>
      <xdr:row>32</xdr:row>
      <xdr:rowOff>47626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0.72301</cdr:x>
      <cdr:y>0.57028</cdr:y>
    </cdr:from>
    <cdr:to>
      <cdr:x>0.95649</cdr:x>
      <cdr:y>0.85388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52375" y="2973974"/>
          <a:ext cx="1405485" cy="14789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1100"/>
            <a:t>Using a 5-point scale, customers are encouraged to fill out our project satisfaction survey upon completion of requested service. </a:t>
          </a:r>
        </a:p>
      </cdr:txBody>
    </cdr:sp>
  </cdr:relSizeAnchor>
  <cdr:relSizeAnchor xmlns:cdr="http://schemas.openxmlformats.org/drawingml/2006/chartDrawing">
    <cdr:from>
      <cdr:x>0.00615</cdr:x>
      <cdr:y>0.16606</cdr:y>
    </cdr:from>
    <cdr:to>
      <cdr:x>0.07481</cdr:x>
      <cdr:y>0.27207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47625" y="913031"/>
          <a:ext cx="531691" cy="582875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0.00302</cdr:x>
      <cdr:y>0.80785</cdr:y>
    </cdr:from>
    <cdr:to>
      <cdr:x>0.06863</cdr:x>
      <cdr:y>0.90916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23472" y="4285988"/>
          <a:ext cx="509927" cy="537498"/>
        </a:xfrm>
        <a:prstGeom xmlns:a="http://schemas.openxmlformats.org/drawingml/2006/main" prst="rect">
          <a:avLst/>
        </a:prstGeom>
      </cdr:spPr>
    </cdr:pic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147638</xdr:colOff>
      <xdr:row>10</xdr:row>
      <xdr:rowOff>7143</xdr:rowOff>
    </xdr:from>
    <xdr:to>
      <xdr:col>15</xdr:col>
      <xdr:colOff>604838</xdr:colOff>
      <xdr:row>39</xdr:row>
      <xdr:rowOff>52387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0.72301</cdr:x>
      <cdr:y>0.57028</cdr:y>
    </cdr:from>
    <cdr:to>
      <cdr:x>0.95264</cdr:x>
      <cdr:y>0.71546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598863" y="3135575"/>
          <a:ext cx="1778214" cy="7982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1100"/>
            <a:t>Using a 5-point scale, customers are encouraged to fill out our work order satisfaction survey upon completion of requested service. </a:t>
          </a:r>
        </a:p>
      </cdr:txBody>
    </cdr:sp>
  </cdr:relSizeAnchor>
  <cdr:relSizeAnchor xmlns:cdr="http://schemas.openxmlformats.org/drawingml/2006/chartDrawing">
    <cdr:from>
      <cdr:x>0.00615</cdr:x>
      <cdr:y>0.16606</cdr:y>
    </cdr:from>
    <cdr:to>
      <cdr:x>0.07481</cdr:x>
      <cdr:y>0.27207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47625" y="913031"/>
          <a:ext cx="531691" cy="582875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0.00302</cdr:x>
      <cdr:y>0.80785</cdr:y>
    </cdr:from>
    <cdr:to>
      <cdr:x>0.06863</cdr:x>
      <cdr:y>0.90916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23472" y="4285988"/>
          <a:ext cx="509927" cy="537498"/>
        </a:xfrm>
        <a:prstGeom xmlns:a="http://schemas.openxmlformats.org/drawingml/2006/main" prst="rect">
          <a:avLst/>
        </a:prstGeom>
      </cdr:spPr>
    </cdr:pic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59053</xdr:colOff>
      <xdr:row>0</xdr:row>
      <xdr:rowOff>60353</xdr:rowOff>
    </xdr:from>
    <xdr:to>
      <xdr:col>16</xdr:col>
      <xdr:colOff>342900</xdr:colOff>
      <xdr:row>19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710044</xdr:colOff>
      <xdr:row>13</xdr:row>
      <xdr:rowOff>56286</xdr:rowOff>
    </xdr:from>
    <xdr:to>
      <xdr:col>11</xdr:col>
      <xdr:colOff>138545</xdr:colOff>
      <xdr:row>14</xdr:row>
      <xdr:rowOff>92653</xdr:rowOff>
    </xdr:to>
    <xdr:sp macro="" textlink="">
      <xdr:nvSpPr>
        <xdr:cNvPr id="5" name="TextBox 4"/>
        <xdr:cNvSpPr txBox="1"/>
      </xdr:nvSpPr>
      <xdr:spPr>
        <a:xfrm>
          <a:off x="6286499" y="2397704"/>
          <a:ext cx="813955" cy="2164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endParaRPr lang="en-US" sz="800"/>
        </a:p>
      </xdr:txBody>
    </xdr:sp>
    <xdr:clientData/>
  </xdr:twoCellAnchor>
  <xdr:twoCellAnchor>
    <xdr:from>
      <xdr:col>0</xdr:col>
      <xdr:colOff>236220</xdr:colOff>
      <xdr:row>71</xdr:row>
      <xdr:rowOff>144779</xdr:rowOff>
    </xdr:from>
    <xdr:to>
      <xdr:col>10</xdr:col>
      <xdr:colOff>171450</xdr:colOff>
      <xdr:row>90</xdr:row>
      <xdr:rowOff>161924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247649</xdr:colOff>
      <xdr:row>92</xdr:row>
      <xdr:rowOff>9525</xdr:rowOff>
    </xdr:from>
    <xdr:to>
      <xdr:col>21</xdr:col>
      <xdr:colOff>142875</xdr:colOff>
      <xdr:row>116</xdr:row>
      <xdr:rowOff>171451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e3294\AppData\Local\Microsoft\Windows\Temporary%20Internet%20Files\Content.Outlook\RQ8ZRBQ1\KPIs%20-%20Template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EM/New_Energy/Degree%20Days/Degree%20Days-%20Oct%208-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PM%20Energy%20Management/New%20Energy/Degree%20Days/Degree%20Days-%20Oct%208-0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q4880\AppData\Local\Microsoft\Windows\Temporary%20Internet%20Files\Content.Outlook\8QFUUOYH\1Q%20Projections%20-%20Utilities%20vs1%20%20vs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pm"/>
      <sheetName val="fpm2"/>
      <sheetName val="Utilities"/>
      <sheetName val="Business Services"/>
    </sheetNames>
    <sheetDataSet>
      <sheetData sheetId="0"/>
      <sheetData sheetId="1"/>
      <sheetData sheetId="2"/>
      <sheetData sheetId="3">
        <row r="4">
          <cell r="A4">
            <v>40878</v>
          </cell>
        </row>
        <row r="32">
          <cell r="B32" t="str">
            <v>% in 2 days or less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Graphs"/>
      <sheetName val="Monthly Data"/>
      <sheetName val="Calculations"/>
      <sheetName val="YTD Graphs"/>
    </sheetNames>
    <sheetDataSet>
      <sheetData sheetId="0"/>
      <sheetData sheetId="1"/>
      <sheetData sheetId="2"/>
      <sheetData sheetId="3">
        <row r="44">
          <cell r="J44" t="str">
            <v>Oct</v>
          </cell>
        </row>
        <row r="56">
          <cell r="J56" t="str">
            <v>Oct</v>
          </cell>
          <cell r="K56" t="str">
            <v>Nov</v>
          </cell>
          <cell r="L56" t="str">
            <v>Dec</v>
          </cell>
          <cell r="M56" t="str">
            <v>Jan</v>
          </cell>
          <cell r="N56" t="str">
            <v>Feb</v>
          </cell>
          <cell r="O56" t="str">
            <v>Mar</v>
          </cell>
          <cell r="P56" t="str">
            <v>Apr</v>
          </cell>
          <cell r="Q56" t="str">
            <v>May</v>
          </cell>
          <cell r="R56" t="str">
            <v>Jun</v>
          </cell>
          <cell r="S56" t="str">
            <v>Jul</v>
          </cell>
          <cell r="T56" t="str">
            <v>Aug</v>
          </cell>
          <cell r="U56" t="str">
            <v>Sep</v>
          </cell>
        </row>
        <row r="57">
          <cell r="I57" t="str">
            <v>10 Yr Ave</v>
          </cell>
          <cell r="J57">
            <v>12.9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0.2</v>
          </cell>
          <cell r="P57">
            <v>8</v>
          </cell>
          <cell r="Q57">
            <v>41.4</v>
          </cell>
          <cell r="R57">
            <v>175.7</v>
          </cell>
          <cell r="S57">
            <v>295.7</v>
          </cell>
          <cell r="T57">
            <v>249.5</v>
          </cell>
          <cell r="U57">
            <v>95.3</v>
          </cell>
        </row>
        <row r="58">
          <cell r="I58" t="str">
            <v>FY12 YTD</v>
          </cell>
          <cell r="J58">
            <v>6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17</v>
          </cell>
          <cell r="P58">
            <v>3</v>
          </cell>
          <cell r="Q58">
            <v>95</v>
          </cell>
          <cell r="R58">
            <v>240</v>
          </cell>
          <cell r="S58">
            <v>439</v>
          </cell>
          <cell r="T58">
            <v>253</v>
          </cell>
          <cell r="U58">
            <v>90</v>
          </cell>
        </row>
        <row r="62">
          <cell r="J62" t="str">
            <v>Oct</v>
          </cell>
          <cell r="K62" t="str">
            <v>Nov</v>
          </cell>
          <cell r="L62" t="str">
            <v>Dec</v>
          </cell>
          <cell r="M62" t="str">
            <v>Jan</v>
          </cell>
          <cell r="N62" t="str">
            <v>Feb</v>
          </cell>
          <cell r="O62" t="str">
            <v>Mar</v>
          </cell>
          <cell r="P62" t="str">
            <v>Apr</v>
          </cell>
          <cell r="Q62" t="str">
            <v>May</v>
          </cell>
          <cell r="R62" t="str">
            <v>Jun</v>
          </cell>
          <cell r="S62" t="str">
            <v>Jul</v>
          </cell>
          <cell r="T62" t="str">
            <v>Aug</v>
          </cell>
          <cell r="U62" t="str">
            <v>Sep</v>
          </cell>
        </row>
        <row r="63">
          <cell r="I63" t="str">
            <v>10 Yr Ave</v>
          </cell>
          <cell r="J63">
            <v>395.9</v>
          </cell>
          <cell r="K63">
            <v>669.5</v>
          </cell>
          <cell r="L63">
            <v>1097</v>
          </cell>
          <cell r="M63">
            <v>1218.9000000000001</v>
          </cell>
          <cell r="N63">
            <v>1072.5</v>
          </cell>
          <cell r="O63">
            <v>858.4</v>
          </cell>
          <cell r="P63">
            <v>446</v>
          </cell>
          <cell r="Q63">
            <v>219.2</v>
          </cell>
          <cell r="R63">
            <v>22.5</v>
          </cell>
          <cell r="S63">
            <v>2.8</v>
          </cell>
          <cell r="T63">
            <v>4.5999999999999996</v>
          </cell>
          <cell r="U63">
            <v>78.5</v>
          </cell>
        </row>
        <row r="64">
          <cell r="I64" t="str">
            <v>FY12 YTD</v>
          </cell>
          <cell r="J64">
            <v>331</v>
          </cell>
          <cell r="K64">
            <v>550</v>
          </cell>
          <cell r="L64">
            <v>909</v>
          </cell>
          <cell r="M64">
            <v>1057</v>
          </cell>
          <cell r="N64">
            <v>936</v>
          </cell>
          <cell r="O64">
            <v>459</v>
          </cell>
          <cell r="P64">
            <v>468</v>
          </cell>
          <cell r="Q64">
            <v>82</v>
          </cell>
          <cell r="R64">
            <v>19</v>
          </cell>
          <cell r="S64">
            <v>0</v>
          </cell>
          <cell r="T64">
            <v>1</v>
          </cell>
          <cell r="U64">
            <v>116</v>
          </cell>
        </row>
      </sheetData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Graphs"/>
      <sheetName val="Monthly Data"/>
      <sheetName val="Calculations"/>
      <sheetName val="YTD Graphs"/>
    </sheetNames>
    <sheetDataSet>
      <sheetData sheetId="0" refreshError="1"/>
      <sheetData sheetId="1" refreshError="1"/>
      <sheetData sheetId="2" refreshError="1"/>
      <sheetData sheetId="3">
        <row r="43">
          <cell r="J43" t="str">
            <v>Oct</v>
          </cell>
          <cell r="K43" t="str">
            <v>Nov</v>
          </cell>
          <cell r="L43" t="str">
            <v>Dec</v>
          </cell>
          <cell r="M43" t="str">
            <v>Jan</v>
          </cell>
          <cell r="N43" t="str">
            <v>Feb</v>
          </cell>
          <cell r="O43" t="str">
            <v>Mar</v>
          </cell>
          <cell r="P43" t="str">
            <v>Apr</v>
          </cell>
          <cell r="Q43" t="str">
            <v>May</v>
          </cell>
          <cell r="R43" t="str">
            <v>Jun</v>
          </cell>
          <cell r="S43" t="str">
            <v>Jul</v>
          </cell>
          <cell r="T43" t="str">
            <v>Aug</v>
          </cell>
          <cell r="U43" t="str">
            <v>Sep</v>
          </cell>
        </row>
        <row r="44">
          <cell r="I44" t="str">
            <v>10 Yr Ave</v>
          </cell>
          <cell r="J44">
            <v>11.6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1.9</v>
          </cell>
          <cell r="P44">
            <v>5.0999999999999996</v>
          </cell>
          <cell r="Q44">
            <v>58.5</v>
          </cell>
          <cell r="R44">
            <v>185.8</v>
          </cell>
          <cell r="S44">
            <v>308.10000000000002</v>
          </cell>
          <cell r="T44">
            <v>245.5</v>
          </cell>
          <cell r="U44">
            <v>90.6</v>
          </cell>
        </row>
        <row r="45">
          <cell r="I45" t="str">
            <v>FY14 YTD</v>
          </cell>
          <cell r="J45">
            <v>20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67</v>
          </cell>
          <cell r="R45">
            <v>182</v>
          </cell>
          <cell r="S45">
            <v>164</v>
          </cell>
          <cell r="T45">
            <v>214</v>
          </cell>
          <cell r="U45">
            <v>0</v>
          </cell>
        </row>
        <row r="49">
          <cell r="J49" t="str">
            <v>Oct</v>
          </cell>
          <cell r="K49" t="str">
            <v>Nov</v>
          </cell>
          <cell r="L49" t="str">
            <v>Dec</v>
          </cell>
          <cell r="M49" t="str">
            <v>Jan</v>
          </cell>
          <cell r="N49" t="str">
            <v>Feb</v>
          </cell>
          <cell r="O49" t="str">
            <v>Mar</v>
          </cell>
          <cell r="P49" t="str">
            <v>Apr</v>
          </cell>
          <cell r="Q49" t="str">
            <v>May</v>
          </cell>
          <cell r="R49" t="str">
            <v>Jun</v>
          </cell>
          <cell r="S49" t="str">
            <v>Jul</v>
          </cell>
          <cell r="T49" t="str">
            <v>Aug</v>
          </cell>
          <cell r="U49" t="str">
            <v>Sep</v>
          </cell>
        </row>
        <row r="50">
          <cell r="I50" t="str">
            <v>10 Yr Ave</v>
          </cell>
          <cell r="J50">
            <v>381</v>
          </cell>
          <cell r="K50">
            <v>669.8</v>
          </cell>
          <cell r="L50">
            <v>1076.0999999999999</v>
          </cell>
          <cell r="M50">
            <v>1200.4000000000001</v>
          </cell>
          <cell r="N50">
            <v>1065.5999999999999</v>
          </cell>
          <cell r="O50">
            <v>814.2</v>
          </cell>
          <cell r="P50">
            <v>449.7</v>
          </cell>
          <cell r="Q50">
            <v>181.2</v>
          </cell>
          <cell r="R50">
            <v>19.8</v>
          </cell>
          <cell r="S50">
            <v>2.2999999999999998</v>
          </cell>
          <cell r="T50">
            <v>4.7</v>
          </cell>
          <cell r="U50">
            <v>76.7</v>
          </cell>
        </row>
        <row r="51">
          <cell r="I51" t="str">
            <v>FY14 YTD</v>
          </cell>
          <cell r="J51">
            <v>377</v>
          </cell>
          <cell r="K51">
            <v>820</v>
          </cell>
          <cell r="L51">
            <v>1170</v>
          </cell>
          <cell r="M51">
            <v>1500</v>
          </cell>
          <cell r="N51">
            <v>1274</v>
          </cell>
          <cell r="O51">
            <v>1124</v>
          </cell>
          <cell r="P51">
            <v>477</v>
          </cell>
          <cell r="Q51">
            <v>170</v>
          </cell>
          <cell r="R51">
            <v>13</v>
          </cell>
          <cell r="S51">
            <v>8</v>
          </cell>
          <cell r="T51">
            <v>5</v>
          </cell>
          <cell r="U51">
            <v>0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Utility by Month"/>
      <sheetName val="Cost and Consumption by month"/>
      <sheetName val="Totals by Utility type"/>
      <sheetName val="Expenses"/>
    </sheetNames>
    <sheetDataSet>
      <sheetData sheetId="0" refreshError="1"/>
      <sheetData sheetId="1" refreshError="1"/>
      <sheetData sheetId="2">
        <row r="115">
          <cell r="D115">
            <v>1462625.79</v>
          </cell>
        </row>
        <row r="116">
          <cell r="D116">
            <v>1493468.5299999998</v>
          </cell>
        </row>
        <row r="117">
          <cell r="D117">
            <v>1684623.94</v>
          </cell>
        </row>
        <row r="118">
          <cell r="D118">
            <v>1708492.04</v>
          </cell>
        </row>
        <row r="119">
          <cell r="D119">
            <v>1566531.4600000002</v>
          </cell>
        </row>
        <row r="120">
          <cell r="D120">
            <v>1659539.87</v>
          </cell>
        </row>
        <row r="121">
          <cell r="D121">
            <v>1309764.8700000001</v>
          </cell>
        </row>
        <row r="122">
          <cell r="D122">
            <v>1436752.77</v>
          </cell>
        </row>
        <row r="123">
          <cell r="D123">
            <v>1459204.6199999999</v>
          </cell>
        </row>
        <row r="124">
          <cell r="D124">
            <v>1605753.03</v>
          </cell>
        </row>
        <row r="125">
          <cell r="D125">
            <v>1562596.23</v>
          </cell>
        </row>
        <row r="126">
          <cell r="D126">
            <v>1418345.5999999999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G49"/>
  <sheetViews>
    <sheetView topLeftCell="A19" zoomScale="70" zoomScaleNormal="70" zoomScaleSheetLayoutView="80" workbookViewId="0">
      <selection sqref="A1:XFD1"/>
    </sheetView>
  </sheetViews>
  <sheetFormatPr defaultRowHeight="15" x14ac:dyDescent="0.25"/>
  <cols>
    <col min="1" max="1" width="8.5703125" style="5" customWidth="1"/>
    <col min="2" max="2" width="13.5703125" customWidth="1"/>
    <col min="3" max="4" width="5.140625" customWidth="1"/>
    <col min="5" max="5" width="13" customWidth="1"/>
    <col min="6" max="6" width="12.7109375" customWidth="1"/>
  </cols>
  <sheetData>
    <row r="2" spans="1:7" ht="71.45" customHeight="1" x14ac:dyDescent="0.3">
      <c r="A2" s="5" t="s">
        <v>42</v>
      </c>
      <c r="B2" s="6" t="s">
        <v>43</v>
      </c>
      <c r="C2" t="s">
        <v>6</v>
      </c>
      <c r="E2" s="5" t="s">
        <v>42</v>
      </c>
      <c r="F2" s="6" t="s">
        <v>43</v>
      </c>
      <c r="G2" t="s">
        <v>6</v>
      </c>
    </row>
    <row r="3" spans="1:7" ht="14.45" x14ac:dyDescent="0.3">
      <c r="A3" s="5">
        <v>40818</v>
      </c>
      <c r="B3">
        <v>16</v>
      </c>
      <c r="C3">
        <v>0</v>
      </c>
      <c r="E3" s="99">
        <v>41133</v>
      </c>
      <c r="F3">
        <v>3</v>
      </c>
      <c r="G3">
        <v>0</v>
      </c>
    </row>
    <row r="4" spans="1:7" ht="14.45" x14ac:dyDescent="0.3">
      <c r="A4" s="5">
        <v>40825</v>
      </c>
      <c r="B4">
        <v>16</v>
      </c>
      <c r="E4" s="99">
        <v>41140</v>
      </c>
      <c r="F4">
        <v>6</v>
      </c>
    </row>
    <row r="5" spans="1:7" ht="14.45" x14ac:dyDescent="0.3">
      <c r="A5" s="5">
        <v>40832</v>
      </c>
      <c r="B5">
        <v>17</v>
      </c>
      <c r="E5" s="99">
        <v>41147</v>
      </c>
      <c r="F5">
        <v>9</v>
      </c>
    </row>
    <row r="6" spans="1:7" ht="14.45" x14ac:dyDescent="0.3">
      <c r="A6" s="5">
        <v>40839</v>
      </c>
      <c r="B6">
        <v>17</v>
      </c>
      <c r="E6" s="99">
        <f>E5+7</f>
        <v>41154</v>
      </c>
      <c r="F6">
        <v>14</v>
      </c>
    </row>
    <row r="7" spans="1:7" ht="14.45" x14ac:dyDescent="0.3">
      <c r="A7" s="5">
        <v>40846</v>
      </c>
      <c r="B7">
        <v>20</v>
      </c>
      <c r="E7" s="99">
        <f t="shared" ref="E7:E49" si="0">E6+7</f>
        <v>41161</v>
      </c>
      <c r="F7">
        <v>16</v>
      </c>
    </row>
    <row r="8" spans="1:7" ht="14.45" x14ac:dyDescent="0.3">
      <c r="A8" s="5">
        <v>40853</v>
      </c>
      <c r="B8">
        <v>20</v>
      </c>
      <c r="E8" s="99">
        <f t="shared" si="0"/>
        <v>41168</v>
      </c>
      <c r="F8">
        <v>20</v>
      </c>
    </row>
    <row r="9" spans="1:7" ht="14.45" x14ac:dyDescent="0.3">
      <c r="A9" s="5">
        <v>40860</v>
      </c>
      <c r="B9">
        <v>21</v>
      </c>
      <c r="E9" s="99">
        <f t="shared" si="0"/>
        <v>41175</v>
      </c>
      <c r="F9">
        <v>21</v>
      </c>
    </row>
    <row r="10" spans="1:7" ht="14.45" x14ac:dyDescent="0.3">
      <c r="A10" s="5">
        <v>40867</v>
      </c>
      <c r="B10">
        <v>21</v>
      </c>
      <c r="E10" s="99">
        <f t="shared" si="0"/>
        <v>41182</v>
      </c>
      <c r="F10">
        <v>22</v>
      </c>
    </row>
    <row r="11" spans="1:7" ht="14.45" x14ac:dyDescent="0.3">
      <c r="A11" s="5">
        <v>40874</v>
      </c>
      <c r="B11">
        <v>22</v>
      </c>
      <c r="E11" s="99">
        <f t="shared" si="0"/>
        <v>41189</v>
      </c>
      <c r="F11">
        <v>30</v>
      </c>
    </row>
    <row r="12" spans="1:7" ht="14.45" x14ac:dyDescent="0.3">
      <c r="A12" s="5">
        <v>40881</v>
      </c>
      <c r="B12">
        <v>25</v>
      </c>
      <c r="E12" s="99">
        <f t="shared" si="0"/>
        <v>41196</v>
      </c>
      <c r="F12">
        <v>33</v>
      </c>
    </row>
    <row r="13" spans="1:7" ht="14.45" x14ac:dyDescent="0.3">
      <c r="A13" s="5">
        <v>40888</v>
      </c>
      <c r="B13">
        <v>28</v>
      </c>
      <c r="E13" s="99">
        <f t="shared" si="0"/>
        <v>41203</v>
      </c>
      <c r="F13">
        <v>37</v>
      </c>
    </row>
    <row r="14" spans="1:7" ht="14.45" x14ac:dyDescent="0.3">
      <c r="A14" s="5">
        <v>40895</v>
      </c>
      <c r="B14">
        <v>29</v>
      </c>
      <c r="E14" s="99">
        <f t="shared" si="0"/>
        <v>41210</v>
      </c>
      <c r="F14">
        <v>40</v>
      </c>
    </row>
    <row r="15" spans="1:7" ht="14.45" x14ac:dyDescent="0.3">
      <c r="A15" s="5">
        <v>40902</v>
      </c>
      <c r="B15">
        <v>29</v>
      </c>
      <c r="E15" s="99">
        <f t="shared" si="0"/>
        <v>41217</v>
      </c>
      <c r="F15">
        <v>45</v>
      </c>
    </row>
    <row r="16" spans="1:7" ht="14.45" x14ac:dyDescent="0.3">
      <c r="A16" s="5">
        <v>40909</v>
      </c>
      <c r="B16">
        <v>33</v>
      </c>
      <c r="E16" s="99">
        <f t="shared" si="0"/>
        <v>41224</v>
      </c>
      <c r="F16">
        <v>46</v>
      </c>
    </row>
    <row r="17" spans="1:7" ht="14.45" x14ac:dyDescent="0.3">
      <c r="A17" s="5">
        <v>40916</v>
      </c>
      <c r="B17">
        <v>37</v>
      </c>
      <c r="E17" s="99">
        <f t="shared" si="0"/>
        <v>41231</v>
      </c>
      <c r="F17">
        <v>52</v>
      </c>
    </row>
    <row r="18" spans="1:7" ht="14.45" x14ac:dyDescent="0.3">
      <c r="A18" s="5">
        <v>40923</v>
      </c>
      <c r="B18">
        <v>40</v>
      </c>
      <c r="E18" s="99">
        <f t="shared" si="0"/>
        <v>41238</v>
      </c>
      <c r="F18">
        <v>54</v>
      </c>
      <c r="G18">
        <v>50</v>
      </c>
    </row>
    <row r="19" spans="1:7" ht="14.45" x14ac:dyDescent="0.3">
      <c r="A19" s="5">
        <v>40930</v>
      </c>
      <c r="B19">
        <v>41</v>
      </c>
      <c r="E19" s="99">
        <f t="shared" si="0"/>
        <v>41245</v>
      </c>
      <c r="F19">
        <v>55</v>
      </c>
    </row>
    <row r="20" spans="1:7" ht="14.45" x14ac:dyDescent="0.3">
      <c r="A20" s="5">
        <v>40937</v>
      </c>
      <c r="B20">
        <v>42</v>
      </c>
      <c r="E20" s="99">
        <f t="shared" si="0"/>
        <v>41252</v>
      </c>
      <c r="F20">
        <v>57</v>
      </c>
    </row>
    <row r="21" spans="1:7" ht="14.45" x14ac:dyDescent="0.3">
      <c r="A21" s="5">
        <v>40944</v>
      </c>
      <c r="B21">
        <v>45</v>
      </c>
      <c r="E21" s="99">
        <f t="shared" si="0"/>
        <v>41259</v>
      </c>
      <c r="F21">
        <v>60</v>
      </c>
    </row>
    <row r="22" spans="1:7" ht="14.45" x14ac:dyDescent="0.3">
      <c r="A22" s="5">
        <v>40951</v>
      </c>
      <c r="B22">
        <v>49</v>
      </c>
      <c r="E22" s="99">
        <f t="shared" si="0"/>
        <v>41266</v>
      </c>
      <c r="F22">
        <v>63</v>
      </c>
    </row>
    <row r="23" spans="1:7" ht="14.45" x14ac:dyDescent="0.3">
      <c r="A23" s="5">
        <v>40958</v>
      </c>
      <c r="B23">
        <v>53</v>
      </c>
      <c r="E23" s="99">
        <f t="shared" si="0"/>
        <v>41273</v>
      </c>
      <c r="F23">
        <v>63</v>
      </c>
    </row>
    <row r="24" spans="1:7" ht="14.45" x14ac:dyDescent="0.3">
      <c r="A24" s="5">
        <v>40965</v>
      </c>
      <c r="B24">
        <v>56</v>
      </c>
      <c r="E24" s="99">
        <f t="shared" si="0"/>
        <v>41280</v>
      </c>
      <c r="F24">
        <v>66</v>
      </c>
    </row>
    <row r="25" spans="1:7" ht="14.45" x14ac:dyDescent="0.3">
      <c r="A25" s="5">
        <v>40972</v>
      </c>
      <c r="B25">
        <v>60</v>
      </c>
      <c r="C25">
        <v>50</v>
      </c>
      <c r="E25" s="99">
        <f t="shared" si="0"/>
        <v>41287</v>
      </c>
      <c r="F25">
        <v>68</v>
      </c>
    </row>
    <row r="26" spans="1:7" ht="14.45" x14ac:dyDescent="0.3">
      <c r="A26" s="5">
        <v>40979</v>
      </c>
      <c r="B26">
        <v>62</v>
      </c>
      <c r="E26" s="99">
        <f t="shared" si="0"/>
        <v>41294</v>
      </c>
      <c r="F26">
        <v>69</v>
      </c>
    </row>
    <row r="27" spans="1:7" ht="14.45" x14ac:dyDescent="0.3">
      <c r="A27" s="5">
        <v>40986</v>
      </c>
      <c r="B27">
        <v>65</v>
      </c>
      <c r="E27" s="99">
        <f t="shared" si="0"/>
        <v>41301</v>
      </c>
      <c r="F27">
        <v>71</v>
      </c>
    </row>
    <row r="28" spans="1:7" ht="14.45" x14ac:dyDescent="0.3">
      <c r="A28" s="5">
        <v>40993</v>
      </c>
      <c r="B28">
        <v>67</v>
      </c>
      <c r="C28">
        <v>65</v>
      </c>
      <c r="E28" s="99">
        <f t="shared" si="0"/>
        <v>41308</v>
      </c>
      <c r="F28">
        <v>72</v>
      </c>
    </row>
    <row r="29" spans="1:7" ht="14.45" x14ac:dyDescent="0.3">
      <c r="A29" s="5">
        <v>41000</v>
      </c>
      <c r="B29">
        <v>71</v>
      </c>
      <c r="E29" s="99">
        <f t="shared" si="0"/>
        <v>41315</v>
      </c>
      <c r="F29">
        <v>73</v>
      </c>
    </row>
    <row r="30" spans="1:7" ht="14.45" x14ac:dyDescent="0.3">
      <c r="A30" s="5">
        <v>41007</v>
      </c>
      <c r="B30">
        <v>73</v>
      </c>
      <c r="E30" s="99">
        <f t="shared" si="0"/>
        <v>41322</v>
      </c>
      <c r="F30">
        <v>74</v>
      </c>
    </row>
    <row r="31" spans="1:7" ht="14.45" x14ac:dyDescent="0.3">
      <c r="A31" s="5">
        <v>41014</v>
      </c>
      <c r="B31">
        <v>75</v>
      </c>
      <c r="E31" s="99">
        <f t="shared" si="0"/>
        <v>41329</v>
      </c>
      <c r="F31">
        <v>74</v>
      </c>
      <c r="G31">
        <v>65</v>
      </c>
    </row>
    <row r="32" spans="1:7" ht="14.45" x14ac:dyDescent="0.3">
      <c r="A32" s="5">
        <v>41021</v>
      </c>
      <c r="B32">
        <v>77</v>
      </c>
      <c r="E32" s="99">
        <f t="shared" si="0"/>
        <v>41336</v>
      </c>
      <c r="F32">
        <v>74</v>
      </c>
    </row>
    <row r="33" spans="1:7" ht="14.45" x14ac:dyDescent="0.3">
      <c r="A33" s="5">
        <v>41028</v>
      </c>
      <c r="B33">
        <v>79</v>
      </c>
      <c r="E33" s="99">
        <f t="shared" si="0"/>
        <v>41343</v>
      </c>
      <c r="F33">
        <v>75</v>
      </c>
    </row>
    <row r="34" spans="1:7" ht="14.45" x14ac:dyDescent="0.3">
      <c r="A34" s="5">
        <v>41035</v>
      </c>
      <c r="B34">
        <v>81</v>
      </c>
      <c r="E34" s="99">
        <f t="shared" si="0"/>
        <v>41350</v>
      </c>
    </row>
    <row r="35" spans="1:7" ht="14.45" x14ac:dyDescent="0.3">
      <c r="A35" s="5">
        <v>41042</v>
      </c>
      <c r="B35">
        <v>82</v>
      </c>
      <c r="E35" s="99">
        <f t="shared" si="0"/>
        <v>41357</v>
      </c>
    </row>
    <row r="36" spans="1:7" ht="14.45" x14ac:dyDescent="0.3">
      <c r="A36" s="5">
        <v>41049</v>
      </c>
      <c r="B36">
        <v>84</v>
      </c>
      <c r="E36" s="99">
        <f t="shared" si="0"/>
        <v>41364</v>
      </c>
    </row>
    <row r="37" spans="1:7" ht="14.45" x14ac:dyDescent="0.3">
      <c r="A37" s="5">
        <v>41056</v>
      </c>
      <c r="B37">
        <v>91</v>
      </c>
      <c r="E37" s="99">
        <f t="shared" si="0"/>
        <v>41371</v>
      </c>
    </row>
    <row r="38" spans="1:7" ht="14.45" x14ac:dyDescent="0.3">
      <c r="A38" s="5">
        <v>41063</v>
      </c>
      <c r="B38">
        <v>94</v>
      </c>
      <c r="E38" s="99">
        <f t="shared" si="0"/>
        <v>41378</v>
      </c>
    </row>
    <row r="39" spans="1:7" ht="14.45" x14ac:dyDescent="0.3">
      <c r="A39" s="5">
        <v>41070</v>
      </c>
      <c r="B39">
        <v>95</v>
      </c>
      <c r="E39" s="99">
        <f t="shared" si="0"/>
        <v>41385</v>
      </c>
    </row>
    <row r="40" spans="1:7" ht="14.45" x14ac:dyDescent="0.3">
      <c r="A40" s="5">
        <v>41077</v>
      </c>
      <c r="B40">
        <v>95</v>
      </c>
      <c r="E40" s="99">
        <f t="shared" si="0"/>
        <v>41392</v>
      </c>
    </row>
    <row r="41" spans="1:7" ht="14.45" x14ac:dyDescent="0.3">
      <c r="A41" s="5">
        <v>41084</v>
      </c>
      <c r="B41">
        <v>97</v>
      </c>
      <c r="E41" s="99">
        <f t="shared" si="0"/>
        <v>41399</v>
      </c>
    </row>
    <row r="42" spans="1:7" x14ac:dyDescent="0.25">
      <c r="A42" s="5">
        <v>41091</v>
      </c>
      <c r="B42">
        <v>97</v>
      </c>
      <c r="E42" s="99">
        <f t="shared" si="0"/>
        <v>41406</v>
      </c>
    </row>
    <row r="43" spans="1:7" x14ac:dyDescent="0.25">
      <c r="A43" s="5">
        <v>41098</v>
      </c>
      <c r="B43">
        <v>97</v>
      </c>
      <c r="E43" s="99">
        <f t="shared" si="0"/>
        <v>41413</v>
      </c>
    </row>
    <row r="44" spans="1:7" x14ac:dyDescent="0.25">
      <c r="A44" s="5">
        <v>41106</v>
      </c>
      <c r="B44">
        <v>98</v>
      </c>
      <c r="C44">
        <v>95</v>
      </c>
      <c r="E44" s="99">
        <f t="shared" si="0"/>
        <v>41420</v>
      </c>
      <c r="G44">
        <v>95</v>
      </c>
    </row>
    <row r="45" spans="1:7" x14ac:dyDescent="0.25">
      <c r="A45" s="5">
        <v>41112</v>
      </c>
      <c r="B45">
        <v>98</v>
      </c>
      <c r="E45" s="99">
        <f t="shared" si="0"/>
        <v>41427</v>
      </c>
    </row>
    <row r="46" spans="1:7" x14ac:dyDescent="0.25">
      <c r="A46" s="5">
        <v>41119</v>
      </c>
      <c r="B46">
        <v>99</v>
      </c>
      <c r="E46" s="99">
        <f t="shared" si="0"/>
        <v>41434</v>
      </c>
    </row>
    <row r="47" spans="1:7" x14ac:dyDescent="0.25">
      <c r="A47" s="5">
        <v>41126</v>
      </c>
      <c r="B47">
        <v>99</v>
      </c>
      <c r="E47" s="99">
        <f t="shared" si="0"/>
        <v>41441</v>
      </c>
    </row>
    <row r="48" spans="1:7" x14ac:dyDescent="0.25">
      <c r="A48" s="5">
        <v>41133</v>
      </c>
      <c r="B48">
        <v>99</v>
      </c>
      <c r="E48" s="99">
        <f t="shared" si="0"/>
        <v>41448</v>
      </c>
    </row>
    <row r="49" spans="1:7" x14ac:dyDescent="0.25">
      <c r="A49" s="5">
        <v>41140</v>
      </c>
      <c r="B49">
        <v>99</v>
      </c>
      <c r="C49">
        <v>100</v>
      </c>
      <c r="E49" s="99">
        <f t="shared" si="0"/>
        <v>41455</v>
      </c>
      <c r="G49">
        <v>100</v>
      </c>
    </row>
  </sheetData>
  <pageMargins left="0.7" right="0.7" top="0.75" bottom="0.75" header="0.3" footer="0.3"/>
  <pageSetup orientation="landscape" r:id="rId1"/>
  <colBreaks count="1" manualBreakCount="1">
    <brk id="19" max="39" man="1"/>
  </colBreak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'Curb Appeal I &amp; II'!C2:C49</xm:f>
              <xm:sqref>C25</xm:sqref>
            </x14:sparkline>
            <x14:sparkline>
              <xm:f>'Curb Appeal I &amp; II'!D2:D49</xm:f>
              <xm:sqref>D25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35"/>
  <sheetViews>
    <sheetView topLeftCell="A37" zoomScale="90" zoomScaleNormal="90" zoomScaleSheetLayoutView="50" workbookViewId="0">
      <selection activeCell="P80" sqref="P80"/>
    </sheetView>
  </sheetViews>
  <sheetFormatPr defaultRowHeight="15" x14ac:dyDescent="0.25"/>
  <cols>
    <col min="1" max="1" width="14.5703125" customWidth="1"/>
    <col min="2" max="3" width="7.85546875" customWidth="1"/>
    <col min="4" max="4" width="13.7109375" style="39" customWidth="1"/>
    <col min="5" max="5" width="10.42578125" style="39" customWidth="1"/>
    <col min="6" max="6" width="6.85546875" style="39" customWidth="1"/>
    <col min="7" max="7" width="8.42578125" style="39" customWidth="1"/>
  </cols>
  <sheetData>
    <row r="1" spans="1:7" ht="14.45" x14ac:dyDescent="0.3">
      <c r="D1" s="41"/>
      <c r="E1" s="41"/>
    </row>
    <row r="3" spans="1:7" ht="43.15" x14ac:dyDescent="0.3">
      <c r="A3" s="6" t="s">
        <v>2</v>
      </c>
      <c r="B3" s="6" t="s">
        <v>6</v>
      </c>
      <c r="C3" s="6"/>
      <c r="D3" s="39" t="s">
        <v>0</v>
      </c>
      <c r="F3" s="39" t="s">
        <v>1</v>
      </c>
    </row>
    <row r="4" spans="1:7" ht="14.45" x14ac:dyDescent="0.3">
      <c r="A4" s="1">
        <v>40909</v>
      </c>
      <c r="B4" s="1"/>
      <c r="C4" s="1"/>
      <c r="D4" s="40">
        <v>223</v>
      </c>
      <c r="E4" s="40"/>
      <c r="F4" s="39">
        <v>86</v>
      </c>
      <c r="G4" s="20">
        <f>+F4/D4</f>
        <v>0.38565022421524664</v>
      </c>
    </row>
    <row r="5" spans="1:7" ht="14.45" x14ac:dyDescent="0.3">
      <c r="A5" s="1">
        <v>40940</v>
      </c>
      <c r="B5" s="1"/>
      <c r="C5" s="1"/>
      <c r="D5" s="40">
        <v>104</v>
      </c>
      <c r="E5" s="40"/>
      <c r="F5" s="41">
        <v>40</v>
      </c>
      <c r="G5" s="20">
        <f t="shared" ref="G5:G33" si="0">+F5/D5</f>
        <v>0.38461538461538464</v>
      </c>
    </row>
    <row r="6" spans="1:7" ht="14.45" x14ac:dyDescent="0.3">
      <c r="A6" s="1">
        <v>40969</v>
      </c>
      <c r="B6" s="1"/>
      <c r="C6" s="1"/>
      <c r="D6" s="40">
        <v>1152</v>
      </c>
      <c r="E6" s="40"/>
      <c r="F6" s="41">
        <v>814</v>
      </c>
      <c r="G6" s="20">
        <f t="shared" si="0"/>
        <v>0.70659722222222221</v>
      </c>
    </row>
    <row r="7" spans="1:7" ht="14.45" x14ac:dyDescent="0.3">
      <c r="A7" s="1">
        <v>41000</v>
      </c>
      <c r="B7" s="1"/>
      <c r="C7" s="1"/>
      <c r="D7" s="40">
        <v>1397</v>
      </c>
      <c r="E7" s="40"/>
      <c r="F7" s="41">
        <v>836</v>
      </c>
      <c r="G7" s="20">
        <f t="shared" si="0"/>
        <v>0.59842519685039375</v>
      </c>
    </row>
    <row r="8" spans="1:7" ht="14.45" x14ac:dyDescent="0.3">
      <c r="A8" s="1">
        <v>41030</v>
      </c>
      <c r="B8" s="1"/>
      <c r="C8" s="1"/>
      <c r="D8" s="40">
        <v>448</v>
      </c>
      <c r="E8" s="40"/>
      <c r="F8" s="41">
        <v>381</v>
      </c>
      <c r="G8" s="20">
        <f t="shared" si="0"/>
        <v>0.8504464285714286</v>
      </c>
    </row>
    <row r="9" spans="1:7" ht="14.45" x14ac:dyDescent="0.3">
      <c r="A9" s="1">
        <v>41061</v>
      </c>
      <c r="B9" s="1"/>
      <c r="C9" s="1"/>
      <c r="D9" s="40">
        <v>678</v>
      </c>
      <c r="E9" s="40"/>
      <c r="F9" s="41">
        <v>158</v>
      </c>
      <c r="G9" s="20">
        <f t="shared" si="0"/>
        <v>0.23303834808259588</v>
      </c>
    </row>
    <row r="10" spans="1:7" ht="14.45" x14ac:dyDescent="0.3">
      <c r="A10" s="1">
        <v>41091</v>
      </c>
      <c r="B10" s="1"/>
      <c r="C10" s="1"/>
      <c r="D10" s="40">
        <v>435</v>
      </c>
      <c r="E10" s="40"/>
      <c r="F10" s="41">
        <v>204</v>
      </c>
      <c r="G10" s="20">
        <f t="shared" si="0"/>
        <v>0.4689655172413793</v>
      </c>
    </row>
    <row r="11" spans="1:7" ht="14.45" x14ac:dyDescent="0.3">
      <c r="A11" s="1">
        <v>41122</v>
      </c>
      <c r="B11" s="1"/>
      <c r="C11" s="1"/>
      <c r="D11" s="40">
        <v>915</v>
      </c>
      <c r="E11" s="40"/>
      <c r="F11" s="41">
        <v>301</v>
      </c>
      <c r="G11" s="20">
        <f t="shared" si="0"/>
        <v>0.32896174863387978</v>
      </c>
    </row>
    <row r="12" spans="1:7" ht="14.45" x14ac:dyDescent="0.3">
      <c r="A12" s="1">
        <v>41153</v>
      </c>
      <c r="B12" s="1"/>
      <c r="C12" s="1"/>
      <c r="D12" s="40">
        <v>973</v>
      </c>
      <c r="E12" s="40"/>
      <c r="F12" s="41">
        <v>345</v>
      </c>
      <c r="G12" s="20">
        <f t="shared" si="0"/>
        <v>0.35457348406988692</v>
      </c>
    </row>
    <row r="13" spans="1:7" ht="14.45" x14ac:dyDescent="0.3">
      <c r="A13" s="108">
        <v>41183</v>
      </c>
      <c r="B13" s="1"/>
      <c r="C13" s="1"/>
      <c r="D13" s="40">
        <v>722</v>
      </c>
      <c r="E13" s="40"/>
      <c r="F13" s="41">
        <v>166</v>
      </c>
      <c r="G13" s="20">
        <f t="shared" si="0"/>
        <v>0.22991689750692521</v>
      </c>
    </row>
    <row r="14" spans="1:7" ht="14.45" x14ac:dyDescent="0.3">
      <c r="A14" s="1">
        <v>41214</v>
      </c>
      <c r="B14" s="1"/>
      <c r="C14" s="1"/>
      <c r="D14" s="40">
        <v>603</v>
      </c>
      <c r="E14" s="40"/>
      <c r="F14" s="41">
        <v>262</v>
      </c>
      <c r="G14" s="20">
        <f t="shared" si="0"/>
        <v>0.43449419568822556</v>
      </c>
    </row>
    <row r="15" spans="1:7" ht="14.45" x14ac:dyDescent="0.3">
      <c r="A15" s="1">
        <v>41244</v>
      </c>
      <c r="B15" s="1"/>
      <c r="C15" s="1"/>
      <c r="D15" s="40">
        <v>711</v>
      </c>
      <c r="E15" s="40"/>
      <c r="F15" s="41">
        <v>257</v>
      </c>
      <c r="G15" s="20">
        <f t="shared" si="0"/>
        <v>0.36146272855133615</v>
      </c>
    </row>
    <row r="16" spans="1:7" ht="14.45" x14ac:dyDescent="0.3">
      <c r="A16" s="1">
        <v>41275</v>
      </c>
      <c r="B16" s="1"/>
      <c r="C16" s="1"/>
      <c r="D16" s="218">
        <v>209</v>
      </c>
      <c r="E16" s="218"/>
      <c r="F16" s="147">
        <v>94</v>
      </c>
      <c r="G16" s="216">
        <f t="shared" ref="G16:G20" si="1">+F16/D16</f>
        <v>0.44976076555023925</v>
      </c>
    </row>
    <row r="17" spans="1:7" ht="14.45" x14ac:dyDescent="0.3">
      <c r="A17" s="1">
        <v>41306</v>
      </c>
      <c r="B17" s="2"/>
      <c r="C17" s="2"/>
      <c r="D17" s="147">
        <v>149</v>
      </c>
      <c r="E17" s="147"/>
      <c r="F17" s="147">
        <v>37</v>
      </c>
      <c r="G17" s="216">
        <f t="shared" si="1"/>
        <v>0.24832214765100671</v>
      </c>
    </row>
    <row r="18" spans="1:7" ht="14.45" x14ac:dyDescent="0.3">
      <c r="A18" s="1">
        <v>41334</v>
      </c>
      <c r="B18" s="2"/>
      <c r="C18" s="2"/>
      <c r="D18" s="147">
        <v>243</v>
      </c>
      <c r="E18" s="147"/>
      <c r="F18" s="147">
        <v>12</v>
      </c>
      <c r="G18" s="216">
        <f t="shared" si="1"/>
        <v>4.9382716049382713E-2</v>
      </c>
    </row>
    <row r="19" spans="1:7" ht="14.45" x14ac:dyDescent="0.3">
      <c r="A19" s="1">
        <v>41365</v>
      </c>
      <c r="B19" s="2"/>
      <c r="C19" s="2"/>
      <c r="D19" s="147">
        <v>395</v>
      </c>
      <c r="E19" s="147"/>
      <c r="F19" s="147">
        <v>127</v>
      </c>
      <c r="G19" s="216">
        <f t="shared" si="1"/>
        <v>0.32151898734177214</v>
      </c>
    </row>
    <row r="20" spans="1:7" ht="14.45" x14ac:dyDescent="0.3">
      <c r="A20" s="1">
        <v>41395</v>
      </c>
      <c r="B20" s="2"/>
      <c r="C20" s="2"/>
      <c r="D20" s="147">
        <v>512</v>
      </c>
      <c r="E20" s="147"/>
      <c r="F20" s="147">
        <v>244</v>
      </c>
      <c r="G20" s="216">
        <f t="shared" si="1"/>
        <v>0.4765625</v>
      </c>
    </row>
    <row r="21" spans="1:7" ht="14.45" x14ac:dyDescent="0.3">
      <c r="A21" s="1">
        <v>41426</v>
      </c>
      <c r="D21" s="147">
        <v>588</v>
      </c>
      <c r="E21" s="147"/>
      <c r="F21" s="147">
        <v>304</v>
      </c>
      <c r="G21" s="216">
        <f t="shared" si="0"/>
        <v>0.51700680272108845</v>
      </c>
    </row>
    <row r="22" spans="1:7" ht="14.45" x14ac:dyDescent="0.3">
      <c r="A22" s="1">
        <v>41456</v>
      </c>
      <c r="B22" s="113"/>
      <c r="C22" s="113"/>
      <c r="D22" s="147">
        <v>491</v>
      </c>
      <c r="E22" s="147"/>
      <c r="F22" s="147">
        <v>204</v>
      </c>
      <c r="G22" s="216">
        <f t="shared" si="0"/>
        <v>0.41547861507128309</v>
      </c>
    </row>
    <row r="23" spans="1:7" ht="14.45" x14ac:dyDescent="0.3">
      <c r="A23" s="1">
        <v>41487</v>
      </c>
      <c r="D23" s="212">
        <v>591</v>
      </c>
      <c r="E23" s="212"/>
      <c r="F23" s="212">
        <v>312</v>
      </c>
      <c r="G23" s="216">
        <f t="shared" si="0"/>
        <v>0.52791878172588835</v>
      </c>
    </row>
    <row r="24" spans="1:7" ht="14.45" x14ac:dyDescent="0.3">
      <c r="A24" s="1">
        <v>41518</v>
      </c>
      <c r="D24" s="147">
        <v>563</v>
      </c>
      <c r="E24" s="147"/>
      <c r="F24" s="147">
        <v>291</v>
      </c>
      <c r="G24" s="216">
        <f t="shared" si="0"/>
        <v>0.51687388987566607</v>
      </c>
    </row>
    <row r="25" spans="1:7" ht="14.45" x14ac:dyDescent="0.3">
      <c r="A25" s="1">
        <v>41548</v>
      </c>
      <c r="D25" s="147">
        <v>410</v>
      </c>
      <c r="E25" s="147"/>
      <c r="F25" s="147">
        <v>49</v>
      </c>
      <c r="G25" s="216">
        <f t="shared" si="0"/>
        <v>0.11951219512195121</v>
      </c>
    </row>
    <row r="26" spans="1:7" ht="14.45" x14ac:dyDescent="0.3">
      <c r="A26" s="1">
        <v>41579</v>
      </c>
      <c r="D26" s="147">
        <v>304</v>
      </c>
      <c r="E26" s="147"/>
      <c r="F26" s="147">
        <v>173</v>
      </c>
      <c r="G26" s="216">
        <f t="shared" si="0"/>
        <v>0.56907894736842102</v>
      </c>
    </row>
    <row r="27" spans="1:7" ht="14.45" x14ac:dyDescent="0.3">
      <c r="A27" s="1">
        <v>41609</v>
      </c>
      <c r="D27" s="147">
        <v>834</v>
      </c>
      <c r="E27" s="147"/>
      <c r="F27" s="147">
        <v>595</v>
      </c>
      <c r="G27" s="216">
        <f t="shared" si="0"/>
        <v>0.71342925659472423</v>
      </c>
    </row>
    <row r="28" spans="1:7" ht="14.45" x14ac:dyDescent="0.3">
      <c r="A28" s="1">
        <v>41640</v>
      </c>
      <c r="D28" s="147">
        <v>734</v>
      </c>
      <c r="E28" s="147"/>
      <c r="F28" s="147">
        <v>493</v>
      </c>
      <c r="G28" s="216">
        <f t="shared" si="0"/>
        <v>0.67166212534059944</v>
      </c>
    </row>
    <row r="29" spans="1:7" ht="14.45" x14ac:dyDescent="0.3">
      <c r="A29" s="1">
        <v>41671</v>
      </c>
      <c r="D29" s="147">
        <v>519</v>
      </c>
      <c r="E29" s="147"/>
      <c r="F29" s="147">
        <v>442</v>
      </c>
      <c r="G29" s="216">
        <f t="shared" si="0"/>
        <v>0.8516377649325626</v>
      </c>
    </row>
    <row r="30" spans="1:7" ht="14.45" x14ac:dyDescent="0.3">
      <c r="A30" s="1">
        <v>41699</v>
      </c>
      <c r="D30" s="147">
        <v>474</v>
      </c>
      <c r="E30" s="147"/>
      <c r="F30" s="147">
        <v>287</v>
      </c>
      <c r="G30" s="216">
        <f t="shared" si="0"/>
        <v>0.60548523206751059</v>
      </c>
    </row>
    <row r="31" spans="1:7" ht="14.45" x14ac:dyDescent="0.3">
      <c r="A31" s="1">
        <v>41730</v>
      </c>
      <c r="D31" s="147">
        <v>648</v>
      </c>
      <c r="E31" s="147"/>
      <c r="F31" s="147">
        <v>389</v>
      </c>
      <c r="G31" s="216">
        <f t="shared" si="0"/>
        <v>0.60030864197530864</v>
      </c>
    </row>
    <row r="32" spans="1:7" ht="14.45" x14ac:dyDescent="0.3">
      <c r="A32" s="1">
        <v>41760</v>
      </c>
      <c r="D32" s="147">
        <v>730</v>
      </c>
      <c r="E32" s="147"/>
      <c r="F32" s="147">
        <v>541</v>
      </c>
      <c r="G32" s="216">
        <f t="shared" si="0"/>
        <v>0.74109589041095891</v>
      </c>
    </row>
    <row r="33" spans="1:14" ht="14.45" x14ac:dyDescent="0.3">
      <c r="A33" s="1">
        <v>41791</v>
      </c>
      <c r="D33" s="147">
        <v>245</v>
      </c>
      <c r="E33" s="147"/>
      <c r="F33" s="147">
        <v>139</v>
      </c>
      <c r="G33" s="216">
        <f t="shared" si="0"/>
        <v>0.56734693877551023</v>
      </c>
    </row>
    <row r="34" spans="1:14" ht="14.45" x14ac:dyDescent="0.3">
      <c r="A34" s="1"/>
      <c r="D34" s="41"/>
      <c r="E34" s="41"/>
      <c r="F34" s="41"/>
      <c r="G34" s="41"/>
    </row>
    <row r="35" spans="1:14" ht="46.15" customHeight="1" x14ac:dyDescent="0.3">
      <c r="A35" s="12"/>
      <c r="B35" s="11" t="s">
        <v>6</v>
      </c>
      <c r="C35" s="11"/>
      <c r="D35" s="48" t="s">
        <v>56</v>
      </c>
      <c r="E35" s="48" t="s">
        <v>57</v>
      </c>
      <c r="F35" s="11" t="s">
        <v>8</v>
      </c>
      <c r="G35" s="281"/>
      <c r="H35" s="281"/>
      <c r="I35" s="46"/>
      <c r="J35" s="11"/>
      <c r="K35" s="46"/>
      <c r="L35" s="11"/>
      <c r="M35" s="47"/>
      <c r="N35" s="11"/>
    </row>
    <row r="36" spans="1:14" ht="14.45" x14ac:dyDescent="0.3">
      <c r="A36" s="13">
        <v>40817</v>
      </c>
      <c r="B36" s="8">
        <v>0.9</v>
      </c>
      <c r="C36" s="8"/>
      <c r="D36" s="115" t="s">
        <v>280</v>
      </c>
      <c r="E36" s="115"/>
      <c r="F36" s="116">
        <v>0.23</v>
      </c>
      <c r="G36" s="46"/>
      <c r="H36" s="11"/>
      <c r="I36" s="46"/>
      <c r="J36" s="11"/>
      <c r="K36" s="46"/>
      <c r="L36" s="11"/>
      <c r="M36" s="47"/>
      <c r="N36" s="11"/>
    </row>
    <row r="37" spans="1:14" ht="14.45" x14ac:dyDescent="0.3">
      <c r="A37" s="13">
        <v>40848</v>
      </c>
      <c r="B37" s="8">
        <v>0.9</v>
      </c>
      <c r="C37" s="8"/>
      <c r="D37" s="115" t="s">
        <v>84</v>
      </c>
      <c r="E37" s="115"/>
      <c r="F37" s="116">
        <v>0.45</v>
      </c>
      <c r="G37" s="46"/>
      <c r="H37" s="11"/>
      <c r="I37" s="46"/>
      <c r="J37" s="11"/>
      <c r="K37" s="46"/>
      <c r="L37" s="11"/>
      <c r="M37" s="47"/>
      <c r="N37" s="11"/>
    </row>
    <row r="38" spans="1:14" ht="14.45" x14ac:dyDescent="0.3">
      <c r="A38" s="13">
        <v>40878</v>
      </c>
      <c r="B38" s="8">
        <v>0.9</v>
      </c>
      <c r="C38" s="8"/>
      <c r="D38" s="115" t="s">
        <v>198</v>
      </c>
      <c r="E38" s="115"/>
      <c r="F38" s="116">
        <v>0.05</v>
      </c>
      <c r="G38" s="46"/>
      <c r="H38" s="11"/>
      <c r="I38" s="46"/>
      <c r="J38" s="11"/>
      <c r="K38" s="46"/>
      <c r="L38" s="11"/>
      <c r="M38" s="47"/>
      <c r="N38" s="11"/>
    </row>
    <row r="39" spans="1:14" ht="14.45" x14ac:dyDescent="0.3">
      <c r="A39" s="13">
        <v>40909</v>
      </c>
      <c r="B39" s="8">
        <v>0.9</v>
      </c>
      <c r="C39" s="8"/>
      <c r="D39" s="115" t="s">
        <v>95</v>
      </c>
      <c r="E39" s="115"/>
      <c r="F39" s="116">
        <v>0.42</v>
      </c>
      <c r="G39" s="46"/>
      <c r="H39" s="11"/>
      <c r="I39" s="46"/>
      <c r="J39" s="11"/>
      <c r="K39" s="46"/>
      <c r="L39" s="11"/>
      <c r="M39" s="47"/>
      <c r="N39" s="11"/>
    </row>
    <row r="40" spans="1:14" ht="14.45" x14ac:dyDescent="0.3">
      <c r="A40" s="13">
        <v>40940</v>
      </c>
      <c r="B40" s="8">
        <v>0.9</v>
      </c>
      <c r="C40" s="8"/>
      <c r="D40" s="115" t="s">
        <v>94</v>
      </c>
      <c r="E40" s="115"/>
      <c r="F40" s="116">
        <v>0.89</v>
      </c>
      <c r="G40" s="46"/>
      <c r="H40" s="11"/>
      <c r="I40" s="46"/>
      <c r="J40" s="11"/>
      <c r="K40" s="46"/>
      <c r="L40" s="11"/>
      <c r="M40" s="47"/>
      <c r="N40" s="11"/>
    </row>
    <row r="41" spans="1:14" ht="14.45" x14ac:dyDescent="0.3">
      <c r="A41" s="13">
        <v>40969</v>
      </c>
      <c r="B41" s="8">
        <v>0.9</v>
      </c>
      <c r="C41" s="8"/>
      <c r="D41" s="115" t="s">
        <v>278</v>
      </c>
      <c r="E41" s="115"/>
      <c r="F41" s="116">
        <v>0.59</v>
      </c>
      <c r="G41" s="46"/>
      <c r="H41" s="11"/>
      <c r="I41" s="46"/>
      <c r="J41" s="11"/>
      <c r="K41" s="46"/>
      <c r="L41" s="11"/>
      <c r="M41" s="47"/>
      <c r="N41" s="11"/>
    </row>
    <row r="42" spans="1:14" ht="14.45" x14ac:dyDescent="0.3">
      <c r="A42" s="13">
        <v>41000</v>
      </c>
      <c r="B42" s="8">
        <v>0.9</v>
      </c>
      <c r="C42" s="8"/>
      <c r="D42" s="115" t="s">
        <v>279</v>
      </c>
      <c r="E42" s="115"/>
      <c r="F42" s="116">
        <v>0.91</v>
      </c>
      <c r="G42" s="46"/>
      <c r="H42" s="11"/>
      <c r="I42" s="46"/>
      <c r="J42" s="11"/>
      <c r="K42" s="46"/>
      <c r="L42" s="11"/>
      <c r="M42" s="47"/>
      <c r="N42" s="11"/>
    </row>
    <row r="43" spans="1:14" ht="14.45" x14ac:dyDescent="0.3">
      <c r="A43" s="13">
        <v>41030</v>
      </c>
      <c r="B43" s="8">
        <v>0.9</v>
      </c>
      <c r="C43" s="8"/>
      <c r="D43" s="117">
        <v>166</v>
      </c>
      <c r="E43" s="117"/>
      <c r="F43" s="116">
        <v>0.61</v>
      </c>
      <c r="G43" s="46"/>
      <c r="H43" s="11"/>
      <c r="I43" s="46"/>
      <c r="J43" s="11"/>
      <c r="K43" s="46"/>
      <c r="L43" s="11"/>
      <c r="M43" s="47"/>
      <c r="N43" s="11"/>
    </row>
    <row r="44" spans="1:14" ht="14.45" x14ac:dyDescent="0.3">
      <c r="A44" s="13">
        <v>41061</v>
      </c>
      <c r="B44" s="8">
        <v>0.9</v>
      </c>
      <c r="C44" s="8"/>
      <c r="D44" s="118">
        <v>458</v>
      </c>
      <c r="E44" s="119"/>
      <c r="F44" s="116">
        <v>0.62</v>
      </c>
      <c r="G44" s="46"/>
      <c r="H44" s="11"/>
      <c r="I44" s="46"/>
      <c r="J44" s="11"/>
      <c r="K44" s="46"/>
      <c r="L44" s="11"/>
      <c r="M44" s="47"/>
      <c r="N44" s="11"/>
    </row>
    <row r="45" spans="1:14" ht="14.45" x14ac:dyDescent="0.3">
      <c r="A45" s="13">
        <v>41091</v>
      </c>
      <c r="B45" s="8">
        <v>0.9</v>
      </c>
      <c r="C45" s="8"/>
      <c r="D45" s="118">
        <v>301</v>
      </c>
      <c r="E45" s="119"/>
      <c r="F45" s="116">
        <v>0.78</v>
      </c>
      <c r="G45" s="46"/>
      <c r="H45" s="11"/>
      <c r="I45" s="46"/>
      <c r="J45" s="11"/>
      <c r="K45" s="46"/>
      <c r="L45" s="11"/>
      <c r="M45" s="47"/>
      <c r="N45" s="11"/>
    </row>
    <row r="46" spans="1:14" ht="14.45" x14ac:dyDescent="0.3">
      <c r="A46" s="13">
        <v>41122</v>
      </c>
      <c r="B46" s="8">
        <v>0.9</v>
      </c>
      <c r="C46" s="8"/>
      <c r="D46" s="115" t="s">
        <v>116</v>
      </c>
      <c r="E46" s="115"/>
      <c r="F46" s="116">
        <v>0.82</v>
      </c>
      <c r="G46" s="46"/>
      <c r="H46" s="11"/>
      <c r="I46" s="46"/>
      <c r="J46" s="11"/>
      <c r="K46" s="46"/>
      <c r="L46" s="11"/>
      <c r="M46" s="47"/>
      <c r="N46" s="11"/>
    </row>
    <row r="47" spans="1:14" ht="14.45" x14ac:dyDescent="0.3">
      <c r="A47" s="13">
        <v>41153</v>
      </c>
      <c r="B47" s="8">
        <v>0.9</v>
      </c>
      <c r="C47" s="8"/>
      <c r="D47" s="115" t="s">
        <v>277</v>
      </c>
      <c r="E47" s="115"/>
      <c r="F47" s="116">
        <v>0.78</v>
      </c>
      <c r="G47" s="46"/>
      <c r="H47" s="11"/>
      <c r="I47" s="46"/>
      <c r="J47" s="11"/>
      <c r="K47" s="46"/>
      <c r="L47" s="11"/>
      <c r="M47" s="47"/>
      <c r="N47" s="11"/>
    </row>
    <row r="48" spans="1:14" ht="14.45" x14ac:dyDescent="0.3">
      <c r="A48" s="219">
        <v>41183</v>
      </c>
      <c r="B48" s="8">
        <v>0.9</v>
      </c>
      <c r="C48" s="8"/>
      <c r="D48" s="45" t="s">
        <v>301</v>
      </c>
      <c r="E48" s="45" t="s">
        <v>300</v>
      </c>
      <c r="F48" s="8">
        <f t="shared" ref="F48:F56" si="2">E48/D48</f>
        <v>0.8434959349593496</v>
      </c>
      <c r="G48" s="46"/>
      <c r="H48" s="11"/>
      <c r="I48" s="46"/>
      <c r="J48" s="11"/>
      <c r="K48" s="46"/>
      <c r="L48" s="11"/>
      <c r="M48" s="47"/>
      <c r="N48" s="11"/>
    </row>
    <row r="49" spans="1:14" ht="14.45" x14ac:dyDescent="0.3">
      <c r="A49" s="13">
        <v>41214</v>
      </c>
      <c r="B49" s="8">
        <v>0.9</v>
      </c>
      <c r="C49" s="8"/>
      <c r="D49" s="45" t="s">
        <v>82</v>
      </c>
      <c r="E49" s="45" t="s">
        <v>304</v>
      </c>
      <c r="F49" s="8">
        <f t="shared" si="2"/>
        <v>0.71962616822429903</v>
      </c>
      <c r="G49" s="46"/>
      <c r="H49" s="11"/>
      <c r="I49" s="46"/>
      <c r="J49" s="11"/>
      <c r="K49" s="46"/>
      <c r="L49" s="11"/>
      <c r="M49" s="47"/>
      <c r="N49" s="11"/>
    </row>
    <row r="50" spans="1:14" ht="14.45" x14ac:dyDescent="0.3">
      <c r="A50" s="13">
        <v>41244</v>
      </c>
      <c r="B50" s="8">
        <v>0.9</v>
      </c>
      <c r="C50" s="8"/>
      <c r="D50" s="54">
        <v>289</v>
      </c>
      <c r="E50" s="54">
        <v>220</v>
      </c>
      <c r="F50" s="8">
        <f t="shared" si="2"/>
        <v>0.76124567474048443</v>
      </c>
      <c r="G50" s="282"/>
      <c r="H50" s="282"/>
      <c r="I50" s="226"/>
      <c r="J50" s="11"/>
      <c r="K50" s="46"/>
      <c r="L50" s="11"/>
      <c r="M50" s="47"/>
      <c r="N50" s="11"/>
    </row>
    <row r="51" spans="1:14" ht="14.45" x14ac:dyDescent="0.3">
      <c r="A51" s="13">
        <v>41275</v>
      </c>
      <c r="B51" s="8">
        <v>0.9</v>
      </c>
      <c r="C51" s="8"/>
      <c r="D51" s="213" t="s">
        <v>277</v>
      </c>
      <c r="E51" s="220">
        <v>245</v>
      </c>
      <c r="F51" s="214">
        <f>E51/D51</f>
        <v>0.74242424242424243</v>
      </c>
      <c r="G51" s="226"/>
      <c r="H51" s="227"/>
      <c r="I51" s="116"/>
      <c r="J51" s="11"/>
      <c r="K51" s="46"/>
      <c r="L51" s="11"/>
      <c r="M51" s="47"/>
      <c r="N51" s="11"/>
    </row>
    <row r="52" spans="1:14" ht="14.45" x14ac:dyDescent="0.3">
      <c r="A52" s="13">
        <v>41306</v>
      </c>
      <c r="B52" s="8">
        <v>0.9</v>
      </c>
      <c r="C52" s="8"/>
      <c r="D52" s="213" t="s">
        <v>450</v>
      </c>
      <c r="E52" s="220">
        <v>268</v>
      </c>
      <c r="F52" s="214">
        <f>E52/D52</f>
        <v>0.62910798122065725</v>
      </c>
      <c r="G52" s="226"/>
      <c r="H52" s="227"/>
      <c r="I52" s="116"/>
      <c r="J52" s="11"/>
      <c r="K52" s="46"/>
      <c r="L52" s="11"/>
      <c r="M52" s="47"/>
      <c r="N52" s="11"/>
    </row>
    <row r="53" spans="1:14" ht="14.45" x14ac:dyDescent="0.3">
      <c r="A53" s="13">
        <v>41334</v>
      </c>
      <c r="B53" s="8">
        <v>0.9</v>
      </c>
      <c r="C53" s="8"/>
      <c r="D53" s="213" t="s">
        <v>408</v>
      </c>
      <c r="E53" s="220">
        <v>326</v>
      </c>
      <c r="F53" s="214">
        <f>E53/D53</f>
        <v>0.72123893805309736</v>
      </c>
      <c r="G53" s="226"/>
      <c r="H53" s="227"/>
      <c r="I53" s="116"/>
      <c r="J53" s="11"/>
      <c r="K53" s="46"/>
      <c r="L53" s="11"/>
      <c r="M53" s="47"/>
      <c r="N53" s="11"/>
    </row>
    <row r="54" spans="1:14" ht="14.45" x14ac:dyDescent="0.3">
      <c r="A54" s="13">
        <v>41365</v>
      </c>
      <c r="B54" s="8">
        <v>0.9</v>
      </c>
      <c r="C54" s="8"/>
      <c r="D54" s="213" t="s">
        <v>451</v>
      </c>
      <c r="E54" s="220">
        <v>439</v>
      </c>
      <c r="F54" s="214">
        <f>E54/D54</f>
        <v>0.8675889328063241</v>
      </c>
      <c r="G54" s="226"/>
      <c r="H54" s="227"/>
      <c r="I54" s="116"/>
      <c r="J54" s="11"/>
      <c r="K54" s="46"/>
      <c r="L54" s="11"/>
      <c r="M54" s="47"/>
      <c r="N54" s="11"/>
    </row>
    <row r="55" spans="1:14" ht="14.45" x14ac:dyDescent="0.3">
      <c r="A55" s="13">
        <v>41395</v>
      </c>
      <c r="B55" s="8">
        <v>0.9</v>
      </c>
      <c r="C55" s="8"/>
      <c r="D55" s="213" t="s">
        <v>452</v>
      </c>
      <c r="E55" s="213" t="s">
        <v>431</v>
      </c>
      <c r="F55" s="214">
        <f t="shared" ref="F55" si="3">E55/D55</f>
        <v>0.86407766990291257</v>
      </c>
      <c r="G55" s="226"/>
      <c r="H55" s="226"/>
      <c r="I55" s="116"/>
      <c r="J55" s="11"/>
      <c r="K55" s="46"/>
      <c r="L55" s="11"/>
      <c r="M55" s="47"/>
      <c r="N55" s="11"/>
    </row>
    <row r="56" spans="1:14" ht="14.45" x14ac:dyDescent="0.3">
      <c r="A56" s="13">
        <v>41426</v>
      </c>
      <c r="B56" s="8">
        <v>0.9</v>
      </c>
      <c r="C56" s="11"/>
      <c r="D56" s="213" t="s">
        <v>447</v>
      </c>
      <c r="E56" s="213" t="s">
        <v>448</v>
      </c>
      <c r="F56" s="214">
        <f t="shared" si="2"/>
        <v>0.66436781609195406</v>
      </c>
      <c r="G56" s="226"/>
      <c r="H56" s="227"/>
      <c r="I56" s="226"/>
      <c r="J56" s="11"/>
      <c r="K56" s="46"/>
      <c r="L56" s="11"/>
      <c r="M56" s="47"/>
      <c r="N56" s="11"/>
    </row>
    <row r="57" spans="1:14" ht="14.45" x14ac:dyDescent="0.3">
      <c r="A57" s="13">
        <v>41456</v>
      </c>
      <c r="B57" s="8">
        <v>0.9</v>
      </c>
      <c r="D57" s="150">
        <v>415</v>
      </c>
      <c r="E57" s="150">
        <v>348</v>
      </c>
      <c r="F57" s="214">
        <f t="shared" ref="F57:F68" si="4">E57/D57</f>
        <v>0.83855421686746989</v>
      </c>
    </row>
    <row r="58" spans="1:14" ht="14.45" x14ac:dyDescent="0.3">
      <c r="A58" s="13">
        <v>41487</v>
      </c>
      <c r="B58" s="8">
        <v>0.9</v>
      </c>
      <c r="D58" s="150">
        <v>470</v>
      </c>
      <c r="E58" s="150">
        <v>403</v>
      </c>
      <c r="F58" s="214">
        <f t="shared" si="4"/>
        <v>0.85744680851063826</v>
      </c>
    </row>
    <row r="59" spans="1:14" ht="14.45" x14ac:dyDescent="0.3">
      <c r="A59" s="13">
        <v>41518</v>
      </c>
      <c r="B59" s="8">
        <v>0.9</v>
      </c>
      <c r="D59" s="150">
        <v>322</v>
      </c>
      <c r="E59" s="150">
        <v>236</v>
      </c>
      <c r="F59" s="214">
        <f t="shared" si="4"/>
        <v>0.73291925465838514</v>
      </c>
    </row>
    <row r="60" spans="1:14" ht="14.45" x14ac:dyDescent="0.3">
      <c r="A60" s="13">
        <v>41548</v>
      </c>
      <c r="B60" s="8">
        <v>0.9</v>
      </c>
      <c r="D60" s="150">
        <v>359</v>
      </c>
      <c r="E60" s="150">
        <v>277</v>
      </c>
      <c r="F60" s="214">
        <f t="shared" si="4"/>
        <v>0.77158774373259054</v>
      </c>
    </row>
    <row r="61" spans="1:14" ht="14.45" x14ac:dyDescent="0.3">
      <c r="A61" s="13">
        <v>41579</v>
      </c>
      <c r="B61" s="8">
        <v>0.9</v>
      </c>
      <c r="D61" s="150">
        <v>309</v>
      </c>
      <c r="E61" s="150">
        <v>199</v>
      </c>
      <c r="F61" s="214">
        <f t="shared" si="4"/>
        <v>0.64401294498381878</v>
      </c>
    </row>
    <row r="62" spans="1:14" ht="14.45" x14ac:dyDescent="0.3">
      <c r="A62" s="13">
        <v>41609</v>
      </c>
      <c r="B62" s="8">
        <v>0.9</v>
      </c>
      <c r="D62" s="150">
        <v>252</v>
      </c>
      <c r="E62" s="150">
        <v>125</v>
      </c>
      <c r="F62" s="214">
        <f t="shared" si="4"/>
        <v>0.49603174603174605</v>
      </c>
    </row>
    <row r="63" spans="1:14" ht="14.45" x14ac:dyDescent="0.3">
      <c r="A63" s="13">
        <v>41640</v>
      </c>
      <c r="B63" s="8">
        <v>0.9</v>
      </c>
      <c r="D63" s="150">
        <v>302</v>
      </c>
      <c r="E63" s="150">
        <v>88</v>
      </c>
      <c r="F63" s="214">
        <f t="shared" si="4"/>
        <v>0.29139072847682118</v>
      </c>
    </row>
    <row r="64" spans="1:14" ht="14.45" x14ac:dyDescent="0.3">
      <c r="A64" s="13">
        <v>41671</v>
      </c>
      <c r="B64" s="8">
        <v>0.9</v>
      </c>
      <c r="D64" s="150">
        <v>283</v>
      </c>
      <c r="E64" s="150">
        <v>118</v>
      </c>
      <c r="F64" s="214">
        <f t="shared" si="4"/>
        <v>0.41696113074204949</v>
      </c>
    </row>
    <row r="65" spans="1:18" ht="14.45" x14ac:dyDescent="0.3">
      <c r="A65" s="13">
        <v>41699</v>
      </c>
      <c r="B65" s="8">
        <v>0.9</v>
      </c>
      <c r="D65" s="150">
        <v>473</v>
      </c>
      <c r="E65" s="150">
        <v>224</v>
      </c>
      <c r="F65" s="214">
        <f t="shared" si="4"/>
        <v>0.47357293868921774</v>
      </c>
    </row>
    <row r="66" spans="1:18" x14ac:dyDescent="0.25">
      <c r="A66" s="13">
        <v>41730</v>
      </c>
      <c r="B66" s="8">
        <v>0.9</v>
      </c>
      <c r="D66" s="150">
        <v>238</v>
      </c>
      <c r="E66" s="150">
        <v>117</v>
      </c>
      <c r="F66" s="214">
        <f t="shared" si="4"/>
        <v>0.49159663865546216</v>
      </c>
    </row>
    <row r="67" spans="1:18" x14ac:dyDescent="0.25">
      <c r="A67" s="13">
        <v>41760</v>
      </c>
      <c r="B67" s="8">
        <v>0.9</v>
      </c>
      <c r="D67" s="150">
        <v>720</v>
      </c>
      <c r="E67" s="150">
        <v>467</v>
      </c>
      <c r="F67" s="214">
        <f t="shared" si="4"/>
        <v>0.64861111111111114</v>
      </c>
    </row>
    <row r="68" spans="1:18" x14ac:dyDescent="0.25">
      <c r="A68" s="13">
        <v>41791</v>
      </c>
      <c r="B68" s="8">
        <v>0.9</v>
      </c>
      <c r="D68" s="150">
        <v>542</v>
      </c>
      <c r="E68" s="150">
        <v>413</v>
      </c>
      <c r="F68" s="214">
        <f t="shared" si="4"/>
        <v>0.76199261992619927</v>
      </c>
    </row>
    <row r="70" spans="1:18" x14ac:dyDescent="0.25">
      <c r="B70" s="60" t="s">
        <v>177</v>
      </c>
      <c r="C70" s="60"/>
      <c r="D70" s="59"/>
      <c r="E70"/>
      <c r="F70"/>
      <c r="G70"/>
    </row>
    <row r="71" spans="1:18" x14ac:dyDescent="0.25">
      <c r="A71" t="s">
        <v>72</v>
      </c>
      <c r="B71" s="126" t="s">
        <v>0</v>
      </c>
      <c r="C71" s="126"/>
      <c r="D71" s="126" t="s">
        <v>182</v>
      </c>
      <c r="E71" s="126" t="s">
        <v>193</v>
      </c>
      <c r="F71" s="59" t="s">
        <v>194</v>
      </c>
      <c r="G71" s="59" t="s">
        <v>185</v>
      </c>
      <c r="H71" s="59" t="s">
        <v>186</v>
      </c>
      <c r="I71" s="59" t="s">
        <v>192</v>
      </c>
      <c r="J71" s="59"/>
      <c r="K71" s="59"/>
      <c r="L71" s="126"/>
      <c r="M71" s="126"/>
      <c r="N71" s="126"/>
    </row>
    <row r="72" spans="1:18" x14ac:dyDescent="0.25">
      <c r="A72" t="s">
        <v>184</v>
      </c>
      <c r="B72" s="57">
        <f>SUM(D72:I72)</f>
        <v>678</v>
      </c>
      <c r="C72" s="57"/>
      <c r="D72" s="126">
        <v>520</v>
      </c>
      <c r="E72" s="58">
        <v>101</v>
      </c>
      <c r="F72" s="126">
        <v>29</v>
      </c>
      <c r="G72" s="126">
        <v>22</v>
      </c>
      <c r="H72" s="126">
        <v>0</v>
      </c>
      <c r="I72" s="126">
        <v>6</v>
      </c>
      <c r="J72" s="59"/>
      <c r="K72" s="126"/>
      <c r="L72" s="126"/>
      <c r="M72" s="126"/>
      <c r="N72" s="126"/>
      <c r="O72" s="126"/>
      <c r="P72" s="126"/>
      <c r="Q72" s="126"/>
      <c r="R72" s="126"/>
    </row>
    <row r="73" spans="1:18" x14ac:dyDescent="0.25">
      <c r="A73" s="1" t="s">
        <v>17</v>
      </c>
      <c r="B73" s="126">
        <f>D73+E73+F73+G73+H73+I73</f>
        <v>435</v>
      </c>
      <c r="C73" s="126"/>
      <c r="D73" s="126">
        <v>231</v>
      </c>
      <c r="E73" s="126">
        <v>121</v>
      </c>
      <c r="F73" s="126">
        <v>35</v>
      </c>
      <c r="G73" s="67">
        <v>44</v>
      </c>
      <c r="H73" s="126">
        <v>0</v>
      </c>
      <c r="I73" s="126">
        <v>4</v>
      </c>
      <c r="J73" s="59"/>
      <c r="K73" s="126"/>
      <c r="L73" s="126"/>
      <c r="M73" s="126"/>
      <c r="N73" s="59"/>
      <c r="O73" s="59"/>
      <c r="P73" s="59"/>
      <c r="Q73" s="59"/>
      <c r="R73" s="59"/>
    </row>
    <row r="74" spans="1:18" x14ac:dyDescent="0.25">
      <c r="A74" s="47" t="s">
        <v>369</v>
      </c>
      <c r="B74" s="126">
        <v>915</v>
      </c>
      <c r="C74" s="126"/>
      <c r="D74" s="126">
        <v>614</v>
      </c>
      <c r="E74" s="126">
        <v>116</v>
      </c>
      <c r="F74" s="58">
        <v>113</v>
      </c>
      <c r="G74" s="126">
        <v>66</v>
      </c>
      <c r="H74" s="126">
        <v>1</v>
      </c>
      <c r="I74" s="126">
        <v>5</v>
      </c>
      <c r="J74" s="126"/>
      <c r="K74" s="126"/>
      <c r="L74" s="126"/>
      <c r="M74" s="126"/>
      <c r="N74" s="59"/>
      <c r="O74" s="59"/>
      <c r="P74" s="59"/>
      <c r="Q74" s="59"/>
      <c r="R74" s="59"/>
    </row>
    <row r="75" spans="1:18" x14ac:dyDescent="0.25">
      <c r="A75" t="s">
        <v>232</v>
      </c>
      <c r="B75" s="126">
        <v>973</v>
      </c>
      <c r="C75" s="126"/>
      <c r="D75" s="67">
        <v>628</v>
      </c>
      <c r="E75" s="67">
        <v>90</v>
      </c>
      <c r="F75" s="107">
        <v>105</v>
      </c>
      <c r="G75" s="67">
        <v>133</v>
      </c>
      <c r="H75" s="67">
        <v>12</v>
      </c>
      <c r="I75" s="67">
        <v>5</v>
      </c>
      <c r="J75" s="59"/>
      <c r="K75" s="126"/>
      <c r="L75" s="126"/>
      <c r="M75" s="210"/>
      <c r="N75" s="126"/>
      <c r="O75" s="59"/>
      <c r="P75" s="59"/>
      <c r="Q75" s="59"/>
      <c r="R75" s="59"/>
    </row>
    <row r="76" spans="1:18" x14ac:dyDescent="0.25">
      <c r="A76" s="221" t="s">
        <v>371</v>
      </c>
      <c r="B76" s="126">
        <v>772</v>
      </c>
      <c r="C76" s="126"/>
      <c r="D76" s="67">
        <v>606</v>
      </c>
      <c r="E76" s="67">
        <v>74</v>
      </c>
      <c r="F76" s="107">
        <v>16</v>
      </c>
      <c r="G76" s="67">
        <v>58</v>
      </c>
      <c r="H76" s="67">
        <v>18</v>
      </c>
      <c r="I76" s="67">
        <v>0</v>
      </c>
      <c r="J76" s="59"/>
      <c r="K76" s="126"/>
      <c r="L76" s="126"/>
      <c r="M76" s="126"/>
      <c r="N76" s="58"/>
      <c r="O76" s="126"/>
      <c r="P76" s="126"/>
      <c r="Q76" s="126"/>
      <c r="R76" s="126"/>
    </row>
    <row r="77" spans="1:18" x14ac:dyDescent="0.25">
      <c r="A77" s="47" t="s">
        <v>377</v>
      </c>
      <c r="B77" s="67">
        <v>603</v>
      </c>
      <c r="C77" s="67"/>
      <c r="D77" s="67">
        <v>341</v>
      </c>
      <c r="E77" s="67">
        <v>197</v>
      </c>
      <c r="F77" s="107">
        <v>20</v>
      </c>
      <c r="G77" s="67">
        <v>30</v>
      </c>
      <c r="H77" s="67">
        <v>15</v>
      </c>
      <c r="I77" s="67">
        <v>0</v>
      </c>
      <c r="J77" s="59"/>
      <c r="K77" s="126"/>
      <c r="L77" s="126"/>
      <c r="M77" s="126"/>
      <c r="N77" s="63"/>
      <c r="O77" s="39"/>
      <c r="P77" s="39"/>
      <c r="Q77" s="39"/>
      <c r="R77" s="39"/>
    </row>
    <row r="78" spans="1:18" x14ac:dyDescent="0.25">
      <c r="A78" s="47" t="s">
        <v>372</v>
      </c>
      <c r="B78" s="67">
        <v>711</v>
      </c>
      <c r="C78" s="67"/>
      <c r="D78" s="67">
        <v>454</v>
      </c>
      <c r="E78" s="67">
        <v>75</v>
      </c>
      <c r="F78" s="107">
        <v>102</v>
      </c>
      <c r="G78" s="67">
        <v>66</v>
      </c>
      <c r="H78" s="67">
        <v>8</v>
      </c>
      <c r="I78" s="67">
        <v>6</v>
      </c>
      <c r="J78" s="59"/>
      <c r="K78" s="126"/>
      <c r="L78" s="126"/>
      <c r="M78" s="126"/>
      <c r="N78" s="59"/>
    </row>
    <row r="79" spans="1:18" x14ac:dyDescent="0.25">
      <c r="A79" s="47" t="s">
        <v>346</v>
      </c>
      <c r="B79" s="222">
        <v>209</v>
      </c>
      <c r="C79" s="222"/>
      <c r="D79" s="222">
        <v>131</v>
      </c>
      <c r="E79" s="222">
        <v>32</v>
      </c>
      <c r="F79" s="223">
        <v>15</v>
      </c>
      <c r="G79" s="224">
        <v>39</v>
      </c>
      <c r="H79" s="225">
        <v>0</v>
      </c>
      <c r="I79" s="225">
        <v>8</v>
      </c>
      <c r="J79" s="59"/>
      <c r="K79" s="59"/>
      <c r="L79" s="59"/>
      <c r="M79" s="59"/>
      <c r="N79" s="59"/>
    </row>
    <row r="80" spans="1:18" x14ac:dyDescent="0.25">
      <c r="A80" s="47" t="s">
        <v>39</v>
      </c>
      <c r="B80" s="222">
        <v>149</v>
      </c>
      <c r="C80" s="222"/>
      <c r="D80" s="222">
        <v>112</v>
      </c>
      <c r="E80" s="222">
        <v>20</v>
      </c>
      <c r="F80" s="223">
        <v>9</v>
      </c>
      <c r="G80" s="222">
        <v>7</v>
      </c>
      <c r="H80" s="222">
        <v>0</v>
      </c>
      <c r="I80" s="222">
        <v>1</v>
      </c>
    </row>
    <row r="81" spans="1:12" x14ac:dyDescent="0.25">
      <c r="A81" s="47" t="s">
        <v>389</v>
      </c>
      <c r="B81" s="222">
        <v>243</v>
      </c>
      <c r="C81" s="222"/>
      <c r="D81" s="222">
        <v>234</v>
      </c>
      <c r="E81" s="222">
        <v>10</v>
      </c>
      <c r="F81" s="223">
        <v>1</v>
      </c>
      <c r="G81" s="222">
        <v>1</v>
      </c>
      <c r="H81" s="222">
        <v>0</v>
      </c>
      <c r="I81" s="222">
        <v>0</v>
      </c>
    </row>
    <row r="82" spans="1:12" x14ac:dyDescent="0.25">
      <c r="A82" s="47" t="s">
        <v>20</v>
      </c>
      <c r="B82" s="222">
        <v>395</v>
      </c>
      <c r="C82" s="222"/>
      <c r="D82" s="222">
        <v>268</v>
      </c>
      <c r="E82" s="222">
        <v>125</v>
      </c>
      <c r="F82" s="223">
        <v>2</v>
      </c>
      <c r="G82" s="222">
        <v>0</v>
      </c>
      <c r="H82" s="222">
        <v>0</v>
      </c>
      <c r="I82" s="222">
        <v>0</v>
      </c>
    </row>
    <row r="83" spans="1:12" x14ac:dyDescent="0.25">
      <c r="A83" s="47" t="s">
        <v>19</v>
      </c>
      <c r="B83" s="222">
        <v>512</v>
      </c>
      <c r="C83" s="222"/>
      <c r="D83" s="222">
        <v>268</v>
      </c>
      <c r="E83" s="222">
        <v>148</v>
      </c>
      <c r="F83" s="223">
        <v>95</v>
      </c>
      <c r="G83" s="222">
        <v>1</v>
      </c>
      <c r="H83" s="222">
        <v>0</v>
      </c>
      <c r="I83" s="222">
        <v>0</v>
      </c>
      <c r="J83" s="67"/>
      <c r="K83" s="67"/>
      <c r="L83" s="67"/>
    </row>
    <row r="84" spans="1:12" x14ac:dyDescent="0.25">
      <c r="A84" s="47" t="s">
        <v>18</v>
      </c>
      <c r="B84" s="212">
        <v>588</v>
      </c>
      <c r="C84" s="212"/>
      <c r="D84" s="212">
        <v>284</v>
      </c>
      <c r="E84" s="212">
        <v>140</v>
      </c>
      <c r="F84" s="212">
        <v>97</v>
      </c>
      <c r="G84" s="212">
        <v>67</v>
      </c>
      <c r="H84" s="212">
        <v>0</v>
      </c>
      <c r="I84" s="212">
        <v>0</v>
      </c>
    </row>
    <row r="85" spans="1:12" x14ac:dyDescent="0.25">
      <c r="A85" s="47" t="s">
        <v>17</v>
      </c>
      <c r="B85" s="212">
        <v>491</v>
      </c>
      <c r="C85" s="212"/>
      <c r="D85" s="212">
        <v>287</v>
      </c>
      <c r="E85" s="212">
        <v>137</v>
      </c>
      <c r="F85" s="212">
        <v>67</v>
      </c>
      <c r="G85" s="212">
        <v>0</v>
      </c>
      <c r="H85" s="212">
        <v>0</v>
      </c>
      <c r="I85" s="212">
        <v>0</v>
      </c>
    </row>
    <row r="86" spans="1:12" x14ac:dyDescent="0.25">
      <c r="A86" s="47" t="s">
        <v>466</v>
      </c>
      <c r="B86" s="212">
        <v>591</v>
      </c>
      <c r="C86" s="212"/>
      <c r="D86" s="212">
        <v>279</v>
      </c>
      <c r="E86" s="212">
        <v>118</v>
      </c>
      <c r="F86" s="212">
        <v>130</v>
      </c>
      <c r="G86" s="212">
        <v>64</v>
      </c>
      <c r="H86" s="212">
        <v>0</v>
      </c>
      <c r="I86" s="212">
        <v>0</v>
      </c>
    </row>
    <row r="87" spans="1:12" x14ac:dyDescent="0.25">
      <c r="A87" s="47" t="s">
        <v>232</v>
      </c>
      <c r="B87" s="212">
        <v>563</v>
      </c>
      <c r="C87" s="146"/>
      <c r="D87" s="212">
        <v>272</v>
      </c>
      <c r="E87" s="212">
        <v>162</v>
      </c>
      <c r="F87" s="212">
        <v>91</v>
      </c>
      <c r="G87" s="212">
        <v>38</v>
      </c>
      <c r="H87" s="212">
        <v>0</v>
      </c>
      <c r="I87" s="212">
        <v>0</v>
      </c>
    </row>
    <row r="88" spans="1:12" x14ac:dyDescent="0.25">
      <c r="A88" s="47" t="s">
        <v>371</v>
      </c>
      <c r="B88" s="212">
        <v>410</v>
      </c>
      <c r="C88" s="146"/>
      <c r="D88" s="212">
        <v>361</v>
      </c>
      <c r="E88" s="212">
        <v>49</v>
      </c>
      <c r="F88" s="212">
        <v>0</v>
      </c>
      <c r="G88" s="212">
        <v>0</v>
      </c>
      <c r="H88" s="212">
        <v>0</v>
      </c>
      <c r="I88" s="212">
        <v>0</v>
      </c>
    </row>
    <row r="89" spans="1:12" x14ac:dyDescent="0.25">
      <c r="A89" s="47" t="s">
        <v>377</v>
      </c>
      <c r="B89" s="212">
        <v>304</v>
      </c>
      <c r="C89" s="146"/>
      <c r="D89" s="212">
        <v>131</v>
      </c>
      <c r="E89" s="212">
        <v>173</v>
      </c>
      <c r="F89" s="212">
        <v>0</v>
      </c>
      <c r="G89" s="212">
        <v>0</v>
      </c>
      <c r="H89" s="212">
        <v>0</v>
      </c>
      <c r="I89" s="212">
        <v>0</v>
      </c>
    </row>
    <row r="90" spans="1:12" x14ac:dyDescent="0.25">
      <c r="A90" s="47" t="s">
        <v>372</v>
      </c>
      <c r="B90" s="212">
        <v>834</v>
      </c>
      <c r="C90" s="146"/>
      <c r="D90" s="212">
        <v>239</v>
      </c>
      <c r="E90" s="212">
        <v>318</v>
      </c>
      <c r="F90" s="212">
        <v>225</v>
      </c>
      <c r="G90" s="212">
        <v>52</v>
      </c>
      <c r="H90" s="212">
        <v>0</v>
      </c>
      <c r="I90" s="212">
        <v>0</v>
      </c>
    </row>
    <row r="91" spans="1:12" x14ac:dyDescent="0.25">
      <c r="A91" s="47" t="s">
        <v>503</v>
      </c>
      <c r="B91" s="212">
        <v>733</v>
      </c>
      <c r="C91" s="146"/>
      <c r="D91" s="212">
        <v>241</v>
      </c>
      <c r="E91" s="212">
        <v>125</v>
      </c>
      <c r="F91" s="212">
        <v>219</v>
      </c>
      <c r="G91" s="212">
        <v>148</v>
      </c>
      <c r="H91" s="212">
        <v>0</v>
      </c>
      <c r="I91" s="212">
        <v>0</v>
      </c>
    </row>
    <row r="92" spans="1:12" x14ac:dyDescent="0.25">
      <c r="A92" s="47" t="s">
        <v>39</v>
      </c>
      <c r="B92" s="212">
        <v>519</v>
      </c>
      <c r="C92" s="146"/>
      <c r="D92" s="212">
        <v>77</v>
      </c>
      <c r="E92" s="212">
        <v>79</v>
      </c>
      <c r="F92" s="212">
        <v>119</v>
      </c>
      <c r="G92" s="212">
        <v>244</v>
      </c>
      <c r="H92" s="212">
        <v>0</v>
      </c>
      <c r="I92" s="212">
        <v>0</v>
      </c>
    </row>
    <row r="93" spans="1:12" x14ac:dyDescent="0.25">
      <c r="A93" s="47" t="s">
        <v>21</v>
      </c>
      <c r="B93" s="212">
        <v>474</v>
      </c>
      <c r="C93" s="146"/>
      <c r="D93" s="212">
        <v>187</v>
      </c>
      <c r="E93" s="212">
        <v>43</v>
      </c>
      <c r="F93" s="212">
        <v>57</v>
      </c>
      <c r="G93" s="212">
        <v>181</v>
      </c>
      <c r="H93" s="212">
        <v>6</v>
      </c>
      <c r="I93" s="212">
        <v>0</v>
      </c>
    </row>
    <row r="94" spans="1:12" x14ac:dyDescent="0.25">
      <c r="A94" s="47" t="s">
        <v>20</v>
      </c>
      <c r="B94" s="212">
        <v>648</v>
      </c>
      <c r="C94" s="146"/>
      <c r="D94" s="212">
        <v>273</v>
      </c>
      <c r="E94" s="212">
        <v>128</v>
      </c>
      <c r="F94" s="212">
        <v>32</v>
      </c>
      <c r="G94" s="212">
        <v>155</v>
      </c>
      <c r="H94" s="212">
        <v>60</v>
      </c>
      <c r="I94" s="212">
        <v>0</v>
      </c>
    </row>
    <row r="95" spans="1:12" x14ac:dyDescent="0.25">
      <c r="A95" s="47" t="s">
        <v>19</v>
      </c>
      <c r="B95" s="212">
        <v>730</v>
      </c>
      <c r="C95" s="146"/>
      <c r="D95" s="212">
        <v>189</v>
      </c>
      <c r="E95" s="212">
        <v>192</v>
      </c>
      <c r="F95" s="212">
        <v>86</v>
      </c>
      <c r="G95" s="212">
        <v>121</v>
      </c>
      <c r="H95" s="212">
        <v>142</v>
      </c>
      <c r="I95" s="212">
        <v>0</v>
      </c>
    </row>
    <row r="96" spans="1:12" x14ac:dyDescent="0.25">
      <c r="A96" s="47" t="s">
        <v>18</v>
      </c>
      <c r="B96" s="212">
        <v>245</v>
      </c>
      <c r="C96" s="146"/>
      <c r="D96" s="212">
        <v>106</v>
      </c>
      <c r="E96" s="212">
        <v>79</v>
      </c>
      <c r="F96" s="212">
        <v>49</v>
      </c>
      <c r="G96" s="212">
        <v>11</v>
      </c>
      <c r="H96" s="212">
        <v>0</v>
      </c>
      <c r="I96" s="212">
        <v>0</v>
      </c>
    </row>
    <row r="97" spans="4:7" x14ac:dyDescent="0.25">
      <c r="D97"/>
      <c r="E97"/>
      <c r="F97"/>
      <c r="G97"/>
    </row>
    <row r="98" spans="4:7" x14ac:dyDescent="0.25">
      <c r="D98"/>
      <c r="E98"/>
      <c r="F98"/>
      <c r="G98"/>
    </row>
    <row r="99" spans="4:7" x14ac:dyDescent="0.25">
      <c r="D99"/>
      <c r="E99"/>
      <c r="F99"/>
      <c r="G99"/>
    </row>
    <row r="100" spans="4:7" x14ac:dyDescent="0.25">
      <c r="D100"/>
      <c r="E100"/>
      <c r="F100"/>
      <c r="G100"/>
    </row>
    <row r="101" spans="4:7" x14ac:dyDescent="0.25">
      <c r="D101"/>
      <c r="E101"/>
      <c r="F101"/>
      <c r="G101"/>
    </row>
    <row r="102" spans="4:7" x14ac:dyDescent="0.25">
      <c r="D102"/>
      <c r="E102"/>
      <c r="F102"/>
      <c r="G102"/>
    </row>
    <row r="103" spans="4:7" x14ac:dyDescent="0.25">
      <c r="D103"/>
      <c r="E103"/>
      <c r="F103"/>
      <c r="G103"/>
    </row>
    <row r="104" spans="4:7" x14ac:dyDescent="0.25">
      <c r="D104"/>
      <c r="E104"/>
      <c r="F104"/>
      <c r="G104"/>
    </row>
    <row r="105" spans="4:7" x14ac:dyDescent="0.25">
      <c r="D105"/>
      <c r="E105"/>
      <c r="F105"/>
      <c r="G105"/>
    </row>
    <row r="106" spans="4:7" x14ac:dyDescent="0.25">
      <c r="D106"/>
      <c r="E106"/>
      <c r="F106"/>
      <c r="G106"/>
    </row>
    <row r="107" spans="4:7" x14ac:dyDescent="0.25">
      <c r="D107"/>
      <c r="E107"/>
      <c r="F107"/>
      <c r="G107"/>
    </row>
    <row r="108" spans="4:7" x14ac:dyDescent="0.25">
      <c r="D108"/>
      <c r="E108"/>
      <c r="F108"/>
      <c r="G108"/>
    </row>
    <row r="109" spans="4:7" x14ac:dyDescent="0.25">
      <c r="D109"/>
      <c r="E109"/>
      <c r="F109"/>
      <c r="G109"/>
    </row>
    <row r="110" spans="4:7" x14ac:dyDescent="0.25">
      <c r="D110"/>
      <c r="E110"/>
      <c r="F110"/>
      <c r="G110"/>
    </row>
    <row r="111" spans="4:7" x14ac:dyDescent="0.25">
      <c r="D111"/>
      <c r="E111"/>
      <c r="F111"/>
      <c r="G111"/>
    </row>
    <row r="112" spans="4:7" x14ac:dyDescent="0.25">
      <c r="D112"/>
      <c r="E112"/>
      <c r="F112"/>
      <c r="G112"/>
    </row>
    <row r="113" spans="4:7" x14ac:dyDescent="0.25">
      <c r="D113"/>
      <c r="E113"/>
      <c r="F113"/>
      <c r="G113"/>
    </row>
    <row r="114" spans="4:7" x14ac:dyDescent="0.25">
      <c r="D114"/>
      <c r="E114"/>
      <c r="F114"/>
      <c r="G114"/>
    </row>
    <row r="115" spans="4:7" x14ac:dyDescent="0.25">
      <c r="D115"/>
      <c r="E115"/>
      <c r="F115"/>
      <c r="G115"/>
    </row>
    <row r="116" spans="4:7" x14ac:dyDescent="0.25">
      <c r="D116"/>
      <c r="E116"/>
      <c r="F116"/>
      <c r="G116"/>
    </row>
    <row r="117" spans="4:7" x14ac:dyDescent="0.25">
      <c r="D117"/>
      <c r="E117"/>
      <c r="F117"/>
      <c r="G117"/>
    </row>
    <row r="118" spans="4:7" x14ac:dyDescent="0.25">
      <c r="D118"/>
      <c r="E118"/>
      <c r="F118"/>
      <c r="G118"/>
    </row>
    <row r="119" spans="4:7" x14ac:dyDescent="0.25">
      <c r="D119"/>
      <c r="E119"/>
      <c r="F119"/>
      <c r="G119"/>
    </row>
    <row r="120" spans="4:7" x14ac:dyDescent="0.25">
      <c r="D120"/>
      <c r="E120"/>
      <c r="F120"/>
      <c r="G120"/>
    </row>
    <row r="121" spans="4:7" x14ac:dyDescent="0.25">
      <c r="D121"/>
      <c r="E121"/>
      <c r="F121"/>
      <c r="G121"/>
    </row>
    <row r="122" spans="4:7" x14ac:dyDescent="0.25">
      <c r="D122"/>
      <c r="E122"/>
      <c r="F122"/>
      <c r="G122"/>
    </row>
    <row r="123" spans="4:7" x14ac:dyDescent="0.25">
      <c r="D123"/>
      <c r="E123"/>
      <c r="F123"/>
      <c r="G123"/>
    </row>
    <row r="124" spans="4:7" x14ac:dyDescent="0.25">
      <c r="D124"/>
      <c r="E124"/>
      <c r="F124"/>
      <c r="G124"/>
    </row>
    <row r="125" spans="4:7" x14ac:dyDescent="0.25">
      <c r="D125"/>
      <c r="E125"/>
      <c r="F125"/>
      <c r="G125"/>
    </row>
    <row r="126" spans="4:7" x14ac:dyDescent="0.25">
      <c r="D126"/>
      <c r="E126"/>
      <c r="F126"/>
      <c r="G126"/>
    </row>
    <row r="127" spans="4:7" x14ac:dyDescent="0.25">
      <c r="D127"/>
      <c r="E127"/>
      <c r="F127"/>
      <c r="G127"/>
    </row>
    <row r="128" spans="4:7" x14ac:dyDescent="0.25">
      <c r="D128"/>
      <c r="E128"/>
      <c r="F128"/>
      <c r="G128"/>
    </row>
    <row r="129" spans="4:7" x14ac:dyDescent="0.25">
      <c r="D129"/>
      <c r="E129"/>
      <c r="F129"/>
      <c r="G129"/>
    </row>
    <row r="130" spans="4:7" x14ac:dyDescent="0.25">
      <c r="D130"/>
      <c r="E130"/>
      <c r="F130"/>
      <c r="G130"/>
    </row>
    <row r="131" spans="4:7" x14ac:dyDescent="0.25">
      <c r="D131"/>
      <c r="E131"/>
      <c r="F131"/>
      <c r="G131"/>
    </row>
    <row r="132" spans="4:7" x14ac:dyDescent="0.25">
      <c r="D132"/>
      <c r="E132"/>
      <c r="F132"/>
      <c r="G132"/>
    </row>
    <row r="133" spans="4:7" x14ac:dyDescent="0.25">
      <c r="D133"/>
      <c r="E133"/>
      <c r="F133"/>
      <c r="G133"/>
    </row>
    <row r="134" spans="4:7" x14ac:dyDescent="0.25">
      <c r="D134"/>
      <c r="E134"/>
      <c r="F134"/>
      <c r="G134"/>
    </row>
    <row r="135" spans="4:7" x14ac:dyDescent="0.25">
      <c r="D135"/>
      <c r="E135"/>
      <c r="F135"/>
      <c r="G135"/>
    </row>
  </sheetData>
  <mergeCells count="2">
    <mergeCell ref="G35:H35"/>
    <mergeCell ref="G50:H50"/>
  </mergeCells>
  <pageMargins left="0.3" right="0.3" top="0.75" bottom="0.75" header="0.3" footer="0.3"/>
  <pageSetup orientation="portrait" r:id="rId1"/>
  <colBreaks count="2" manualBreakCount="2">
    <brk id="5" max="1048575" man="1"/>
    <brk id="15" max="1048575" man="1"/>
  </colBreaks>
  <ignoredErrors>
    <ignoredError sqref="D36:F56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110"/>
  <sheetViews>
    <sheetView topLeftCell="A28" zoomScaleNormal="100" zoomScaleSheetLayoutView="50" workbookViewId="0">
      <selection activeCell="S44" sqref="S44"/>
    </sheetView>
  </sheetViews>
  <sheetFormatPr defaultRowHeight="15" x14ac:dyDescent="0.25"/>
  <cols>
    <col min="1" max="1" width="14.5703125" customWidth="1"/>
    <col min="2" max="2" width="7.85546875" customWidth="1"/>
    <col min="3" max="3" width="13.7109375" style="39" customWidth="1"/>
    <col min="4" max="4" width="10.42578125" style="39" customWidth="1"/>
    <col min="5" max="5" width="6.85546875" style="39" customWidth="1"/>
    <col min="6" max="6" width="7.28515625" style="39" bestFit="1" customWidth="1"/>
  </cols>
  <sheetData>
    <row r="1" spans="1:6" ht="14.45" x14ac:dyDescent="0.3">
      <c r="C1" s="41"/>
      <c r="D1" s="41"/>
    </row>
    <row r="3" spans="1:6" ht="43.15" x14ac:dyDescent="0.3">
      <c r="A3" s="6" t="s">
        <v>2</v>
      </c>
      <c r="B3" s="6" t="s">
        <v>6</v>
      </c>
      <c r="C3" s="39" t="s">
        <v>0</v>
      </c>
      <c r="E3" s="39" t="s">
        <v>1</v>
      </c>
    </row>
    <row r="4" spans="1:6" ht="14.45" x14ac:dyDescent="0.3">
      <c r="A4" s="1">
        <v>40909</v>
      </c>
      <c r="B4" s="1"/>
      <c r="C4" s="40">
        <v>223</v>
      </c>
      <c r="D4" s="40"/>
      <c r="E4" s="39">
        <v>86</v>
      </c>
      <c r="F4" s="20">
        <f>+E4/C4</f>
        <v>0.38565022421524664</v>
      </c>
    </row>
    <row r="5" spans="1:6" ht="14.45" x14ac:dyDescent="0.3">
      <c r="A5" s="1">
        <v>40940</v>
      </c>
      <c r="B5" s="1"/>
      <c r="C5" s="40">
        <v>104</v>
      </c>
      <c r="D5" s="40"/>
      <c r="E5" s="41">
        <v>40</v>
      </c>
      <c r="F5" s="20">
        <f t="shared" ref="F5:F15" si="0">+E5/C5</f>
        <v>0.38461538461538464</v>
      </c>
    </row>
    <row r="6" spans="1:6" ht="14.45" x14ac:dyDescent="0.3">
      <c r="A6" s="1">
        <v>40969</v>
      </c>
      <c r="B6" s="1"/>
      <c r="C6" s="40">
        <v>1152</v>
      </c>
      <c r="D6" s="40"/>
      <c r="E6" s="41">
        <v>814</v>
      </c>
      <c r="F6" s="20">
        <f t="shared" si="0"/>
        <v>0.70659722222222221</v>
      </c>
    </row>
    <row r="7" spans="1:6" ht="14.45" x14ac:dyDescent="0.3">
      <c r="A7" s="1">
        <v>41000</v>
      </c>
      <c r="B7" s="1"/>
      <c r="C7" s="40">
        <v>1397</v>
      </c>
      <c r="D7" s="40"/>
      <c r="E7" s="41">
        <v>836</v>
      </c>
      <c r="F7" s="20">
        <f t="shared" si="0"/>
        <v>0.59842519685039375</v>
      </c>
    </row>
    <row r="8" spans="1:6" ht="14.45" x14ac:dyDescent="0.3">
      <c r="A8" s="1">
        <v>41030</v>
      </c>
      <c r="B8" s="1"/>
      <c r="C8" s="40">
        <v>448</v>
      </c>
      <c r="D8" s="40"/>
      <c r="E8" s="41">
        <v>381</v>
      </c>
      <c r="F8" s="20">
        <f t="shared" si="0"/>
        <v>0.8504464285714286</v>
      </c>
    </row>
    <row r="9" spans="1:6" ht="14.45" x14ac:dyDescent="0.3">
      <c r="A9" s="1">
        <v>41061</v>
      </c>
      <c r="B9" s="1"/>
      <c r="C9" s="40">
        <v>678</v>
      </c>
      <c r="D9" s="40"/>
      <c r="E9" s="41">
        <v>158</v>
      </c>
      <c r="F9" s="20">
        <f t="shared" si="0"/>
        <v>0.23303834808259588</v>
      </c>
    </row>
    <row r="10" spans="1:6" ht="14.45" x14ac:dyDescent="0.3">
      <c r="A10" s="1">
        <v>41091</v>
      </c>
      <c r="B10" s="1"/>
      <c r="C10" s="40">
        <v>435</v>
      </c>
      <c r="D10" s="40"/>
      <c r="E10" s="41">
        <v>204</v>
      </c>
      <c r="F10" s="20">
        <f t="shared" si="0"/>
        <v>0.4689655172413793</v>
      </c>
    </row>
    <row r="11" spans="1:6" ht="14.45" x14ac:dyDescent="0.3">
      <c r="A11" s="1">
        <v>41122</v>
      </c>
      <c r="B11" s="1"/>
      <c r="C11" s="40">
        <v>915</v>
      </c>
      <c r="D11" s="40"/>
      <c r="E11" s="41">
        <v>301</v>
      </c>
      <c r="F11" s="20">
        <f t="shared" si="0"/>
        <v>0.32896174863387978</v>
      </c>
    </row>
    <row r="12" spans="1:6" ht="14.45" x14ac:dyDescent="0.3">
      <c r="A12" s="1">
        <v>41153</v>
      </c>
      <c r="B12" s="1"/>
      <c r="C12" s="40">
        <v>973</v>
      </c>
      <c r="D12" s="40"/>
      <c r="E12" s="41">
        <v>345</v>
      </c>
      <c r="F12" s="20">
        <f t="shared" si="0"/>
        <v>0.35457348406988692</v>
      </c>
    </row>
    <row r="13" spans="1:6" ht="14.45" x14ac:dyDescent="0.3">
      <c r="A13" s="108">
        <v>41183</v>
      </c>
      <c r="B13" s="1"/>
      <c r="C13" s="40">
        <v>722</v>
      </c>
      <c r="D13" s="40"/>
      <c r="E13" s="41">
        <v>166</v>
      </c>
      <c r="F13" s="20">
        <f t="shared" si="0"/>
        <v>0.22991689750692521</v>
      </c>
    </row>
    <row r="14" spans="1:6" ht="14.45" x14ac:dyDescent="0.3">
      <c r="A14" s="1">
        <v>41214</v>
      </c>
      <c r="B14" s="1"/>
      <c r="C14" s="40">
        <v>603</v>
      </c>
      <c r="D14" s="40"/>
      <c r="E14" s="41">
        <v>262</v>
      </c>
      <c r="F14" s="20">
        <f t="shared" si="0"/>
        <v>0.43449419568822556</v>
      </c>
    </row>
    <row r="15" spans="1:6" ht="14.45" x14ac:dyDescent="0.3">
      <c r="A15" s="1">
        <v>41244</v>
      </c>
      <c r="B15" s="1"/>
      <c r="C15" s="40">
        <v>711</v>
      </c>
      <c r="D15" s="40"/>
      <c r="E15" s="41">
        <v>257</v>
      </c>
      <c r="F15" s="20">
        <f t="shared" si="0"/>
        <v>0.36146272855133615</v>
      </c>
    </row>
    <row r="16" spans="1:6" ht="14.45" x14ac:dyDescent="0.3">
      <c r="A16" s="1">
        <v>41275</v>
      </c>
      <c r="B16" s="1"/>
      <c r="C16" s="40">
        <v>807</v>
      </c>
      <c r="D16" s="40"/>
      <c r="E16" s="41">
        <v>204</v>
      </c>
      <c r="F16" s="20">
        <f t="shared" ref="F16:F21" si="1">+E16/C16</f>
        <v>0.25278810408921931</v>
      </c>
    </row>
    <row r="17" spans="1:13" ht="14.45" x14ac:dyDescent="0.3">
      <c r="A17" s="1">
        <v>41306</v>
      </c>
      <c r="B17" s="2"/>
      <c r="C17" s="41">
        <v>761</v>
      </c>
      <c r="D17" s="41"/>
      <c r="E17" s="41">
        <v>139</v>
      </c>
      <c r="F17" s="20">
        <f t="shared" si="1"/>
        <v>0.18265440210249673</v>
      </c>
    </row>
    <row r="18" spans="1:13" ht="14.45" x14ac:dyDescent="0.3">
      <c r="A18" s="1">
        <v>41334</v>
      </c>
      <c r="B18" s="2"/>
      <c r="C18" s="41">
        <v>882</v>
      </c>
      <c r="D18" s="41"/>
      <c r="E18" s="41">
        <v>116</v>
      </c>
      <c r="F18" s="20">
        <f t="shared" si="1"/>
        <v>0.13151927437641722</v>
      </c>
    </row>
    <row r="19" spans="1:13" ht="14.45" x14ac:dyDescent="0.3">
      <c r="A19" s="1">
        <v>41365</v>
      </c>
      <c r="B19" s="2"/>
      <c r="C19" s="41">
        <v>1033</v>
      </c>
      <c r="D19" s="41"/>
      <c r="E19" s="41">
        <v>199</v>
      </c>
      <c r="F19" s="20">
        <f t="shared" si="1"/>
        <v>0.19264278799612777</v>
      </c>
    </row>
    <row r="20" spans="1:13" ht="14.45" x14ac:dyDescent="0.3">
      <c r="A20" s="1">
        <v>41395</v>
      </c>
      <c r="B20" s="2"/>
      <c r="C20" s="41">
        <v>1075</v>
      </c>
      <c r="D20" s="41"/>
      <c r="E20" s="41">
        <v>309</v>
      </c>
      <c r="F20" s="20">
        <f t="shared" si="1"/>
        <v>0.28744186046511627</v>
      </c>
    </row>
    <row r="21" spans="1:13" ht="14.45" x14ac:dyDescent="0.3">
      <c r="A21" s="122">
        <v>41426</v>
      </c>
      <c r="B21" s="215"/>
      <c r="C21" s="147">
        <v>588</v>
      </c>
      <c r="D21" s="147"/>
      <c r="E21" s="147">
        <v>304</v>
      </c>
      <c r="F21" s="216">
        <f t="shared" si="1"/>
        <v>0.51700680272108845</v>
      </c>
      <c r="G21" s="146"/>
    </row>
    <row r="22" spans="1:13" ht="14.45" x14ac:dyDescent="0.3">
      <c r="A22" s="146" t="s">
        <v>331</v>
      </c>
      <c r="B22" s="146"/>
      <c r="C22" s="147"/>
      <c r="D22" s="147"/>
      <c r="E22" s="147"/>
      <c r="F22" s="147"/>
      <c r="G22" s="146"/>
    </row>
    <row r="23" spans="1:13" ht="14.45" x14ac:dyDescent="0.3">
      <c r="C23" s="41"/>
      <c r="D23" s="41"/>
      <c r="E23" s="41"/>
      <c r="F23" s="41"/>
    </row>
    <row r="24" spans="1:13" ht="14.45" x14ac:dyDescent="0.3">
      <c r="C24" s="41"/>
      <c r="D24" s="41"/>
      <c r="E24" s="41"/>
      <c r="F24" s="41"/>
    </row>
    <row r="25" spans="1:13" ht="14.45" x14ac:dyDescent="0.3">
      <c r="C25" s="41"/>
      <c r="D25" s="41"/>
      <c r="E25" s="41"/>
      <c r="F25" s="41"/>
    </row>
    <row r="26" spans="1:13" ht="14.45" x14ac:dyDescent="0.3">
      <c r="C26" s="41"/>
      <c r="D26" s="41"/>
      <c r="E26" s="41"/>
      <c r="F26" s="41"/>
    </row>
    <row r="27" spans="1:13" ht="46.15" customHeight="1" x14ac:dyDescent="0.3">
      <c r="A27" s="12"/>
      <c r="B27" s="11" t="s">
        <v>6</v>
      </c>
      <c r="C27" s="48" t="s">
        <v>56</v>
      </c>
      <c r="D27" s="48" t="s">
        <v>57</v>
      </c>
      <c r="E27" s="11" t="s">
        <v>8</v>
      </c>
      <c r="F27" s="46"/>
      <c r="G27" s="11"/>
      <c r="H27" s="46"/>
      <c r="I27" s="11"/>
      <c r="J27" s="46"/>
      <c r="K27" s="11"/>
      <c r="L27" s="47"/>
      <c r="M27" s="11"/>
    </row>
    <row r="28" spans="1:13" ht="14.45" x14ac:dyDescent="0.3">
      <c r="A28" s="13">
        <v>40817</v>
      </c>
      <c r="B28" s="8">
        <v>0.9</v>
      </c>
      <c r="C28" s="115" t="s">
        <v>280</v>
      </c>
      <c r="D28" s="115"/>
      <c r="E28" s="116">
        <v>0.23</v>
      </c>
      <c r="F28" s="46"/>
      <c r="G28" s="11"/>
      <c r="H28" s="46"/>
      <c r="I28" s="11"/>
      <c r="J28" s="46"/>
      <c r="K28" s="11"/>
      <c r="L28" s="47"/>
      <c r="M28" s="11"/>
    </row>
    <row r="29" spans="1:13" ht="14.45" x14ac:dyDescent="0.3">
      <c r="A29" s="13">
        <v>40848</v>
      </c>
      <c r="B29" s="8">
        <v>0.9</v>
      </c>
      <c r="C29" s="115" t="s">
        <v>84</v>
      </c>
      <c r="D29" s="115"/>
      <c r="E29" s="116">
        <v>0.45</v>
      </c>
      <c r="F29" s="46"/>
      <c r="G29" s="11"/>
      <c r="H29" s="46"/>
      <c r="I29" s="11"/>
      <c r="J29" s="46"/>
      <c r="K29" s="11"/>
      <c r="L29" s="47"/>
      <c r="M29" s="11"/>
    </row>
    <row r="30" spans="1:13" ht="14.45" x14ac:dyDescent="0.3">
      <c r="A30" s="13">
        <v>40878</v>
      </c>
      <c r="B30" s="8">
        <v>0.9</v>
      </c>
      <c r="C30" s="115" t="s">
        <v>198</v>
      </c>
      <c r="D30" s="115"/>
      <c r="E30" s="116">
        <v>0.05</v>
      </c>
      <c r="F30" s="46"/>
      <c r="G30" s="11"/>
      <c r="H30" s="46"/>
      <c r="I30" s="11"/>
      <c r="J30" s="46"/>
      <c r="K30" s="11"/>
      <c r="L30" s="47"/>
      <c r="M30" s="11"/>
    </row>
    <row r="31" spans="1:13" ht="14.45" x14ac:dyDescent="0.3">
      <c r="A31" s="13">
        <v>40909</v>
      </c>
      <c r="B31" s="8">
        <v>0.9</v>
      </c>
      <c r="C31" s="115" t="s">
        <v>95</v>
      </c>
      <c r="D31" s="115"/>
      <c r="E31" s="116">
        <v>0.42</v>
      </c>
      <c r="F31" s="46"/>
      <c r="G31" s="11"/>
      <c r="H31" s="46"/>
      <c r="I31" s="11"/>
      <c r="J31" s="46"/>
      <c r="K31" s="11"/>
      <c r="L31" s="47"/>
      <c r="M31" s="11"/>
    </row>
    <row r="32" spans="1:13" ht="14.45" x14ac:dyDescent="0.3">
      <c r="A32" s="13">
        <v>40940</v>
      </c>
      <c r="B32" s="8">
        <v>0.9</v>
      </c>
      <c r="C32" s="115" t="s">
        <v>94</v>
      </c>
      <c r="D32" s="115"/>
      <c r="E32" s="116">
        <v>0.89</v>
      </c>
      <c r="F32" s="46"/>
      <c r="G32" s="11"/>
      <c r="H32" s="46"/>
      <c r="I32" s="11"/>
      <c r="J32" s="46"/>
      <c r="K32" s="11"/>
      <c r="L32" s="47"/>
      <c r="M32" s="11"/>
    </row>
    <row r="33" spans="1:13" ht="14.45" x14ac:dyDescent="0.3">
      <c r="A33" s="13">
        <v>40969</v>
      </c>
      <c r="B33" s="8">
        <v>0.9</v>
      </c>
      <c r="C33" s="115" t="s">
        <v>278</v>
      </c>
      <c r="D33" s="115"/>
      <c r="E33" s="116">
        <v>0.59</v>
      </c>
      <c r="F33" s="46"/>
      <c r="G33" s="11"/>
      <c r="H33" s="46"/>
      <c r="I33" s="11"/>
      <c r="J33" s="46"/>
      <c r="K33" s="11"/>
      <c r="L33" s="47"/>
      <c r="M33" s="11"/>
    </row>
    <row r="34" spans="1:13" ht="14.45" x14ac:dyDescent="0.3">
      <c r="A34" s="13">
        <v>41000</v>
      </c>
      <c r="B34" s="8">
        <v>0.9</v>
      </c>
      <c r="C34" s="115" t="s">
        <v>279</v>
      </c>
      <c r="D34" s="115"/>
      <c r="E34" s="116">
        <v>0.91</v>
      </c>
      <c r="F34" s="46"/>
      <c r="G34" s="11"/>
      <c r="H34" s="46"/>
      <c r="I34" s="11"/>
      <c r="J34" s="46"/>
      <c r="K34" s="11"/>
      <c r="L34" s="47"/>
      <c r="M34" s="11"/>
    </row>
    <row r="35" spans="1:13" ht="14.45" x14ac:dyDescent="0.3">
      <c r="A35" s="13">
        <v>41030</v>
      </c>
      <c r="B35" s="8">
        <v>0.9</v>
      </c>
      <c r="C35" s="117">
        <v>166</v>
      </c>
      <c r="D35" s="117"/>
      <c r="E35" s="116">
        <v>0.61</v>
      </c>
      <c r="F35" s="46"/>
      <c r="G35" s="11"/>
      <c r="H35" s="46"/>
      <c r="I35" s="11"/>
      <c r="J35" s="46"/>
      <c r="K35" s="11"/>
      <c r="L35" s="47"/>
      <c r="M35" s="11"/>
    </row>
    <row r="36" spans="1:13" ht="14.45" x14ac:dyDescent="0.3">
      <c r="A36" s="13">
        <v>41061</v>
      </c>
      <c r="B36" s="8">
        <v>0.9</v>
      </c>
      <c r="C36" s="118">
        <v>458</v>
      </c>
      <c r="D36" s="119"/>
      <c r="E36" s="116">
        <v>0.62</v>
      </c>
      <c r="F36" s="46"/>
      <c r="G36" s="11"/>
      <c r="H36" s="46"/>
      <c r="I36" s="11"/>
      <c r="J36" s="46"/>
      <c r="K36" s="11"/>
      <c r="L36" s="47"/>
      <c r="M36" s="11"/>
    </row>
    <row r="37" spans="1:13" ht="14.45" x14ac:dyDescent="0.3">
      <c r="A37" s="13">
        <v>41091</v>
      </c>
      <c r="B37" s="8">
        <v>0.9</v>
      </c>
      <c r="C37" s="118">
        <v>301</v>
      </c>
      <c r="D37" s="119"/>
      <c r="E37" s="116">
        <v>0.78</v>
      </c>
      <c r="F37" s="46"/>
      <c r="G37" s="11"/>
      <c r="H37" s="46"/>
      <c r="I37" s="11"/>
      <c r="J37" s="46"/>
      <c r="K37" s="11"/>
      <c r="L37" s="47"/>
      <c r="M37" s="11"/>
    </row>
    <row r="38" spans="1:13" ht="14.45" x14ac:dyDescent="0.3">
      <c r="A38" s="13">
        <v>41122</v>
      </c>
      <c r="B38" s="8">
        <v>0.9</v>
      </c>
      <c r="C38" s="115" t="s">
        <v>116</v>
      </c>
      <c r="D38" s="115"/>
      <c r="E38" s="116">
        <v>0.82</v>
      </c>
      <c r="F38" s="46"/>
      <c r="G38" s="11"/>
      <c r="H38" s="46"/>
      <c r="I38" s="11"/>
      <c r="J38" s="46"/>
      <c r="K38" s="11"/>
      <c r="L38" s="47"/>
      <c r="M38" s="11"/>
    </row>
    <row r="39" spans="1:13" ht="14.45" x14ac:dyDescent="0.3">
      <c r="A39" s="13">
        <v>41153</v>
      </c>
      <c r="B39" s="8">
        <v>0.9</v>
      </c>
      <c r="C39" s="115" t="s">
        <v>277</v>
      </c>
      <c r="D39" s="115"/>
      <c r="E39" s="116">
        <v>0.78</v>
      </c>
      <c r="F39" s="46"/>
      <c r="G39" s="11"/>
      <c r="H39" s="46"/>
      <c r="I39" s="11"/>
      <c r="J39" s="46"/>
      <c r="K39" s="11"/>
      <c r="L39" s="47"/>
      <c r="M39" s="11"/>
    </row>
    <row r="40" spans="1:13" ht="14.45" x14ac:dyDescent="0.3">
      <c r="A40" s="120">
        <v>41183</v>
      </c>
      <c r="B40" s="8">
        <v>0.9</v>
      </c>
      <c r="C40" s="45" t="s">
        <v>301</v>
      </c>
      <c r="D40" s="45" t="s">
        <v>300</v>
      </c>
      <c r="E40" s="8">
        <f t="shared" ref="E40:E47" si="2">D40/C40</f>
        <v>0.8434959349593496</v>
      </c>
      <c r="F40" s="46"/>
      <c r="G40" s="11"/>
      <c r="H40" s="46"/>
      <c r="I40" s="11"/>
      <c r="J40" s="46"/>
      <c r="K40" s="11"/>
      <c r="L40" s="47"/>
      <c r="M40" s="11"/>
    </row>
    <row r="41" spans="1:13" ht="14.45" x14ac:dyDescent="0.3">
      <c r="A41" s="13">
        <v>41214</v>
      </c>
      <c r="B41" s="8">
        <v>0.9</v>
      </c>
      <c r="C41" s="45" t="s">
        <v>82</v>
      </c>
      <c r="D41" s="45" t="s">
        <v>304</v>
      </c>
      <c r="E41" s="8">
        <f t="shared" si="2"/>
        <v>0.71962616822429903</v>
      </c>
      <c r="F41" s="46"/>
      <c r="G41" s="11"/>
      <c r="H41" s="46"/>
      <c r="I41" s="11"/>
      <c r="J41" s="46"/>
      <c r="K41" s="11"/>
      <c r="L41" s="47"/>
      <c r="M41" s="11"/>
    </row>
    <row r="42" spans="1:13" ht="14.45" x14ac:dyDescent="0.3">
      <c r="A42" s="13">
        <v>41244</v>
      </c>
      <c r="B42" s="8">
        <v>0.9</v>
      </c>
      <c r="C42" s="54">
        <v>289</v>
      </c>
      <c r="D42" s="54">
        <v>220</v>
      </c>
      <c r="E42" s="8">
        <f t="shared" si="2"/>
        <v>0.76124567474048443</v>
      </c>
      <c r="F42" s="46"/>
      <c r="G42" s="11"/>
      <c r="H42" s="46"/>
      <c r="I42" s="11"/>
      <c r="J42" s="46"/>
      <c r="K42" s="11"/>
      <c r="L42" s="47"/>
      <c r="M42" s="11"/>
    </row>
    <row r="43" spans="1:13" x14ac:dyDescent="0.25">
      <c r="A43" s="13">
        <v>41275</v>
      </c>
      <c r="B43" s="8">
        <v>0.9</v>
      </c>
      <c r="C43" s="54">
        <v>308</v>
      </c>
      <c r="D43" s="54">
        <v>226</v>
      </c>
      <c r="E43" s="8">
        <f t="shared" si="2"/>
        <v>0.73376623376623373</v>
      </c>
      <c r="F43" s="46"/>
      <c r="G43" s="11"/>
      <c r="H43" s="46"/>
      <c r="I43" s="11"/>
      <c r="J43" s="46"/>
      <c r="K43" s="11"/>
      <c r="L43" s="47"/>
      <c r="M43" s="11"/>
    </row>
    <row r="44" spans="1:13" x14ac:dyDescent="0.25">
      <c r="A44" s="13">
        <v>41306</v>
      </c>
      <c r="B44" s="8">
        <v>0.9</v>
      </c>
      <c r="C44" s="46" t="s">
        <v>384</v>
      </c>
      <c r="D44" s="46" t="s">
        <v>95</v>
      </c>
      <c r="E44" s="8">
        <f t="shared" si="2"/>
        <v>0.58994708994709</v>
      </c>
      <c r="F44" s="46"/>
      <c r="G44" s="11"/>
      <c r="H44" s="46"/>
      <c r="I44" s="11"/>
      <c r="J44" s="46"/>
      <c r="K44" s="11"/>
      <c r="L44" s="47"/>
      <c r="M44" s="11"/>
    </row>
    <row r="45" spans="1:13" x14ac:dyDescent="0.25">
      <c r="A45" s="13">
        <v>41334</v>
      </c>
      <c r="B45" s="8">
        <v>0.9</v>
      </c>
      <c r="C45" s="46" t="s">
        <v>243</v>
      </c>
      <c r="D45" s="46" t="s">
        <v>390</v>
      </c>
      <c r="E45" s="8">
        <f t="shared" si="2"/>
        <v>0.73509933774834435</v>
      </c>
      <c r="F45" s="46"/>
      <c r="G45" s="11"/>
      <c r="H45" s="46"/>
      <c r="I45" s="11"/>
      <c r="J45" s="46"/>
      <c r="K45" s="11"/>
      <c r="L45" s="47"/>
      <c r="M45" s="11"/>
    </row>
    <row r="46" spans="1:13" x14ac:dyDescent="0.25">
      <c r="A46" s="13">
        <v>41365</v>
      </c>
      <c r="B46" s="8">
        <v>0.9</v>
      </c>
      <c r="C46" s="46" t="s">
        <v>408</v>
      </c>
      <c r="D46" s="46" t="s">
        <v>407</v>
      </c>
      <c r="E46" s="8">
        <f t="shared" si="2"/>
        <v>0.90929203539823011</v>
      </c>
      <c r="F46" s="46"/>
      <c r="G46" s="11"/>
      <c r="H46" s="46"/>
      <c r="I46" s="11"/>
      <c r="J46" s="46"/>
      <c r="K46" s="11"/>
      <c r="L46" s="47"/>
      <c r="M46" s="11"/>
    </row>
    <row r="47" spans="1:13" x14ac:dyDescent="0.25">
      <c r="A47" s="13">
        <v>41395</v>
      </c>
      <c r="B47" s="8">
        <v>0.9</v>
      </c>
      <c r="C47" s="46" t="s">
        <v>430</v>
      </c>
      <c r="D47" s="46" t="s">
        <v>431</v>
      </c>
      <c r="E47" s="8">
        <f t="shared" si="2"/>
        <v>0.90508474576271192</v>
      </c>
      <c r="F47" s="46"/>
      <c r="G47" s="11"/>
      <c r="H47" s="46"/>
      <c r="I47" s="11"/>
      <c r="J47" s="46"/>
      <c r="K47" s="11"/>
      <c r="L47" s="47"/>
      <c r="M47" s="11"/>
    </row>
    <row r="48" spans="1:13" x14ac:dyDescent="0.25">
      <c r="A48" s="120">
        <v>41426</v>
      </c>
      <c r="B48" s="8">
        <v>0.9</v>
      </c>
      <c r="C48" s="213" t="s">
        <v>544</v>
      </c>
      <c r="D48" s="213" t="s">
        <v>545</v>
      </c>
      <c r="E48" s="214">
        <v>0.76</v>
      </c>
      <c r="F48" s="46"/>
      <c r="G48" s="11"/>
      <c r="H48" s="46"/>
      <c r="I48" s="11"/>
      <c r="J48" s="46"/>
      <c r="K48" s="11"/>
      <c r="L48" s="47"/>
      <c r="M48" s="11"/>
    </row>
    <row r="49" spans="1:17" x14ac:dyDescent="0.25">
      <c r="A49" s="120">
        <v>41456</v>
      </c>
      <c r="B49" s="8">
        <v>0.9</v>
      </c>
      <c r="C49" s="213" t="s">
        <v>542</v>
      </c>
      <c r="D49" s="213" t="s">
        <v>543</v>
      </c>
      <c r="E49" s="214">
        <v>0.81</v>
      </c>
      <c r="F49" s="265"/>
      <c r="G49" s="11"/>
      <c r="H49" s="265"/>
      <c r="I49" s="11"/>
      <c r="J49" s="265"/>
      <c r="K49" s="11"/>
      <c r="L49" s="47"/>
      <c r="M49" s="11"/>
    </row>
    <row r="52" spans="1:17" x14ac:dyDescent="0.25">
      <c r="B52" s="60" t="s">
        <v>177</v>
      </c>
      <c r="C52" s="59"/>
      <c r="D52" s="182"/>
      <c r="E52" s="182"/>
      <c r="F52" s="183"/>
      <c r="G52" s="184"/>
      <c r="H52" s="184"/>
    </row>
    <row r="53" spans="1:17" x14ac:dyDescent="0.25">
      <c r="A53" t="s">
        <v>72</v>
      </c>
      <c r="B53" s="56" t="s">
        <v>0</v>
      </c>
      <c r="C53" s="56" t="s">
        <v>182</v>
      </c>
      <c r="D53" s="56" t="s">
        <v>193</v>
      </c>
      <c r="E53" s="59" t="s">
        <v>194</v>
      </c>
      <c r="F53" s="59" t="s">
        <v>185</v>
      </c>
      <c r="G53" s="59" t="s">
        <v>186</v>
      </c>
      <c r="H53" s="59" t="s">
        <v>192</v>
      </c>
      <c r="I53" s="59"/>
      <c r="J53" s="59"/>
      <c r="K53" s="56"/>
      <c r="L53" s="56"/>
      <c r="M53" s="56"/>
    </row>
    <row r="54" spans="1:17" x14ac:dyDescent="0.25">
      <c r="A54" t="s">
        <v>184</v>
      </c>
      <c r="B54" s="57">
        <f>SUM(C54:H54)</f>
        <v>678</v>
      </c>
      <c r="C54" s="56">
        <v>520</v>
      </c>
      <c r="D54" s="58">
        <v>101</v>
      </c>
      <c r="E54" s="56">
        <v>29</v>
      </c>
      <c r="F54" s="56">
        <v>22</v>
      </c>
      <c r="G54" s="56">
        <v>0</v>
      </c>
      <c r="H54" s="56">
        <v>6</v>
      </c>
      <c r="I54" s="59"/>
      <c r="J54" s="56"/>
      <c r="K54" s="56"/>
      <c r="L54" s="56"/>
      <c r="M54" s="56"/>
      <c r="N54" s="56"/>
      <c r="O54" s="56"/>
      <c r="P54" s="56"/>
      <c r="Q54" s="56"/>
    </row>
    <row r="55" spans="1:17" x14ac:dyDescent="0.25">
      <c r="A55" s="1" t="s">
        <v>17</v>
      </c>
      <c r="B55" s="56">
        <f>C55+D55+E55+F55+G55+H55</f>
        <v>435</v>
      </c>
      <c r="C55" s="56">
        <v>231</v>
      </c>
      <c r="D55" s="56">
        <v>121</v>
      </c>
      <c r="E55" s="56">
        <v>35</v>
      </c>
      <c r="F55" s="67">
        <v>44</v>
      </c>
      <c r="G55" s="56">
        <v>0</v>
      </c>
      <c r="H55" s="56">
        <v>4</v>
      </c>
      <c r="I55" s="59"/>
      <c r="J55" s="56"/>
      <c r="K55" s="56"/>
      <c r="L55" s="56"/>
      <c r="M55" s="59"/>
      <c r="N55" s="59"/>
      <c r="O55" s="59"/>
      <c r="P55" s="59"/>
      <c r="Q55" s="59"/>
    </row>
    <row r="56" spans="1:17" x14ac:dyDescent="0.25">
      <c r="A56" s="47" t="s">
        <v>369</v>
      </c>
      <c r="B56" s="56">
        <v>915</v>
      </c>
      <c r="C56" s="56">
        <v>614</v>
      </c>
      <c r="D56" s="56">
        <v>116</v>
      </c>
      <c r="E56" s="58">
        <v>113</v>
      </c>
      <c r="F56" s="56">
        <v>66</v>
      </c>
      <c r="G56" s="56">
        <v>1</v>
      </c>
      <c r="H56" s="56">
        <v>5</v>
      </c>
      <c r="I56" s="56"/>
      <c r="J56" s="56"/>
      <c r="K56" s="56"/>
      <c r="L56" s="56"/>
      <c r="M56" s="59"/>
      <c r="N56" s="59"/>
      <c r="O56" s="59"/>
      <c r="P56" s="59"/>
      <c r="Q56" s="59"/>
    </row>
    <row r="57" spans="1:17" x14ac:dyDescent="0.25">
      <c r="A57" t="s">
        <v>232</v>
      </c>
      <c r="B57" s="56">
        <v>973</v>
      </c>
      <c r="C57" s="67">
        <v>628</v>
      </c>
      <c r="D57" s="67">
        <v>90</v>
      </c>
      <c r="E57" s="107">
        <v>105</v>
      </c>
      <c r="F57" s="67">
        <v>133</v>
      </c>
      <c r="G57" s="67">
        <v>12</v>
      </c>
      <c r="H57" s="67">
        <v>5</v>
      </c>
      <c r="I57" s="59"/>
      <c r="J57" s="56"/>
      <c r="K57" s="56"/>
      <c r="L57" s="210"/>
      <c r="M57" s="56"/>
      <c r="N57" s="59"/>
      <c r="O57" s="59"/>
      <c r="P57" s="59"/>
      <c r="Q57" s="59"/>
    </row>
    <row r="58" spans="1:17" x14ac:dyDescent="0.25">
      <c r="A58" s="121" t="s">
        <v>371</v>
      </c>
      <c r="B58" s="56">
        <v>772</v>
      </c>
      <c r="C58" s="67">
        <v>606</v>
      </c>
      <c r="D58" s="67">
        <v>74</v>
      </c>
      <c r="E58" s="107">
        <v>16</v>
      </c>
      <c r="F58" s="67">
        <v>58</v>
      </c>
      <c r="G58" s="67">
        <v>18</v>
      </c>
      <c r="H58" s="67">
        <v>0</v>
      </c>
      <c r="I58" s="59"/>
      <c r="J58" s="56"/>
      <c r="K58" s="56"/>
      <c r="L58" s="56"/>
      <c r="M58" s="58"/>
      <c r="N58" s="56"/>
      <c r="O58" s="56"/>
      <c r="P58" s="56"/>
      <c r="Q58" s="56"/>
    </row>
    <row r="59" spans="1:17" x14ac:dyDescent="0.25">
      <c r="A59" s="47" t="s">
        <v>377</v>
      </c>
      <c r="B59" s="67">
        <v>603</v>
      </c>
      <c r="C59" s="67">
        <v>341</v>
      </c>
      <c r="D59" s="67">
        <v>197</v>
      </c>
      <c r="E59" s="107">
        <v>20</v>
      </c>
      <c r="F59" s="67">
        <v>30</v>
      </c>
      <c r="G59" s="67">
        <v>15</v>
      </c>
      <c r="H59" s="67">
        <v>0</v>
      </c>
      <c r="I59" s="59"/>
      <c r="J59" s="56"/>
      <c r="K59" s="56"/>
      <c r="L59" s="56"/>
      <c r="M59" s="63"/>
      <c r="N59" s="39"/>
      <c r="O59" s="39"/>
      <c r="P59" s="39"/>
      <c r="Q59" s="39"/>
    </row>
    <row r="60" spans="1:17" x14ac:dyDescent="0.25">
      <c r="A60" s="47" t="s">
        <v>372</v>
      </c>
      <c r="B60" s="67">
        <v>711</v>
      </c>
      <c r="C60" s="67">
        <v>454</v>
      </c>
      <c r="D60" s="67">
        <v>75</v>
      </c>
      <c r="E60" s="107">
        <v>102</v>
      </c>
      <c r="F60" s="67">
        <v>66</v>
      </c>
      <c r="G60" s="67">
        <v>8</v>
      </c>
      <c r="H60" s="67">
        <v>6</v>
      </c>
      <c r="I60" s="59"/>
      <c r="J60" s="56"/>
      <c r="K60" s="56"/>
      <c r="L60" s="56"/>
      <c r="M60" s="59"/>
    </row>
    <row r="61" spans="1:17" x14ac:dyDescent="0.25">
      <c r="A61" s="47" t="s">
        <v>346</v>
      </c>
      <c r="B61" s="67">
        <v>807</v>
      </c>
      <c r="C61" s="67">
        <v>603</v>
      </c>
      <c r="D61" s="67">
        <v>47</v>
      </c>
      <c r="E61" s="107">
        <v>50</v>
      </c>
      <c r="F61" s="39">
        <v>107</v>
      </c>
      <c r="G61" s="39">
        <v>0</v>
      </c>
      <c r="H61" s="39">
        <v>0</v>
      </c>
      <c r="I61" s="59"/>
      <c r="J61" s="59"/>
      <c r="K61" s="59"/>
      <c r="L61" s="59"/>
      <c r="M61" s="59"/>
    </row>
    <row r="62" spans="1:17" x14ac:dyDescent="0.25">
      <c r="A62" s="47" t="s">
        <v>39</v>
      </c>
      <c r="B62" s="67">
        <v>761</v>
      </c>
      <c r="C62" s="67">
        <v>622</v>
      </c>
      <c r="D62" s="67">
        <v>90</v>
      </c>
      <c r="E62" s="107">
        <v>35</v>
      </c>
      <c r="F62" s="67">
        <v>14</v>
      </c>
      <c r="G62" s="67">
        <v>0</v>
      </c>
      <c r="H62" s="67">
        <v>0</v>
      </c>
    </row>
    <row r="63" spans="1:17" x14ac:dyDescent="0.25">
      <c r="A63" s="47" t="s">
        <v>389</v>
      </c>
      <c r="B63" s="67">
        <v>882</v>
      </c>
      <c r="C63" s="67">
        <v>766</v>
      </c>
      <c r="D63" s="67">
        <v>37</v>
      </c>
      <c r="E63" s="107">
        <v>47</v>
      </c>
      <c r="F63" s="67">
        <v>32</v>
      </c>
      <c r="G63" s="67">
        <v>0</v>
      </c>
      <c r="H63" s="67">
        <v>0</v>
      </c>
    </row>
    <row r="64" spans="1:17" x14ac:dyDescent="0.25">
      <c r="A64" s="47" t="s">
        <v>20</v>
      </c>
      <c r="B64" s="67">
        <v>1033</v>
      </c>
      <c r="C64" s="67">
        <v>834</v>
      </c>
      <c r="D64" s="67">
        <v>143</v>
      </c>
      <c r="E64" s="107">
        <v>28</v>
      </c>
      <c r="F64" s="67">
        <v>25</v>
      </c>
      <c r="G64" s="67">
        <v>3</v>
      </c>
      <c r="H64" s="67">
        <v>0</v>
      </c>
    </row>
    <row r="65" spans="1:11" x14ac:dyDescent="0.25">
      <c r="A65" s="47" t="s">
        <v>19</v>
      </c>
      <c r="B65" s="67">
        <v>1075</v>
      </c>
      <c r="C65" s="67">
        <v>766</v>
      </c>
      <c r="D65" s="67">
        <v>156</v>
      </c>
      <c r="E65" s="107">
        <v>109</v>
      </c>
      <c r="F65" s="67">
        <v>44</v>
      </c>
      <c r="G65" s="67">
        <v>0</v>
      </c>
      <c r="H65" s="67">
        <v>0</v>
      </c>
      <c r="I65" s="67"/>
      <c r="J65" s="67"/>
      <c r="K65" s="67"/>
    </row>
    <row r="66" spans="1:11" x14ac:dyDescent="0.25">
      <c r="A66" s="211" t="s">
        <v>441</v>
      </c>
      <c r="B66" s="212">
        <v>588</v>
      </c>
      <c r="C66" s="212">
        <v>284</v>
      </c>
      <c r="D66" s="212">
        <v>140</v>
      </c>
      <c r="E66" s="212">
        <v>97</v>
      </c>
      <c r="F66" s="212">
        <v>67</v>
      </c>
      <c r="G66" s="212">
        <v>0</v>
      </c>
      <c r="H66" s="212">
        <v>0</v>
      </c>
    </row>
    <row r="67" spans="1:11" x14ac:dyDescent="0.25">
      <c r="C67"/>
      <c r="D67"/>
      <c r="E67"/>
      <c r="F67"/>
    </row>
    <row r="68" spans="1:11" x14ac:dyDescent="0.25">
      <c r="C68"/>
      <c r="D68"/>
      <c r="E68"/>
      <c r="F68"/>
    </row>
    <row r="69" spans="1:11" x14ac:dyDescent="0.25">
      <c r="C69"/>
      <c r="D69"/>
      <c r="E69"/>
      <c r="F69"/>
    </row>
    <row r="70" spans="1:11" x14ac:dyDescent="0.25">
      <c r="C70"/>
      <c r="D70"/>
      <c r="E70"/>
      <c r="F70"/>
    </row>
    <row r="71" spans="1:11" x14ac:dyDescent="0.25">
      <c r="C71"/>
      <c r="D71"/>
      <c r="E71"/>
      <c r="F71"/>
    </row>
    <row r="72" spans="1:11" x14ac:dyDescent="0.25">
      <c r="C72"/>
      <c r="D72"/>
      <c r="E72"/>
      <c r="F72"/>
    </row>
    <row r="73" spans="1:11" x14ac:dyDescent="0.25">
      <c r="C73"/>
      <c r="D73"/>
      <c r="E73"/>
      <c r="F73"/>
    </row>
    <row r="74" spans="1:11" x14ac:dyDescent="0.25">
      <c r="C74"/>
      <c r="D74"/>
      <c r="E74"/>
      <c r="F74"/>
    </row>
    <row r="75" spans="1:11" x14ac:dyDescent="0.25">
      <c r="C75"/>
      <c r="D75"/>
      <c r="E75"/>
      <c r="F75"/>
    </row>
    <row r="76" spans="1:11" x14ac:dyDescent="0.25">
      <c r="C76"/>
      <c r="D76"/>
      <c r="E76"/>
      <c r="F76"/>
    </row>
    <row r="77" spans="1:11" x14ac:dyDescent="0.25">
      <c r="C77"/>
      <c r="D77"/>
      <c r="E77"/>
      <c r="F77"/>
    </row>
    <row r="78" spans="1:11" x14ac:dyDescent="0.25">
      <c r="C78"/>
      <c r="D78"/>
      <c r="E78"/>
      <c r="F78"/>
    </row>
    <row r="79" spans="1:11" x14ac:dyDescent="0.25">
      <c r="C79"/>
      <c r="D79"/>
      <c r="E79"/>
      <c r="F79"/>
    </row>
    <row r="80" spans="1:11" x14ac:dyDescent="0.25">
      <c r="C80"/>
      <c r="D80"/>
      <c r="E80"/>
      <c r="F80"/>
    </row>
    <row r="81" spans="3:6" x14ac:dyDescent="0.25">
      <c r="C81"/>
      <c r="D81"/>
      <c r="E81"/>
      <c r="F81"/>
    </row>
    <row r="82" spans="3:6" x14ac:dyDescent="0.25">
      <c r="C82"/>
      <c r="D82"/>
      <c r="E82"/>
      <c r="F82"/>
    </row>
    <row r="83" spans="3:6" x14ac:dyDescent="0.25">
      <c r="C83"/>
      <c r="D83"/>
      <c r="E83"/>
      <c r="F83"/>
    </row>
    <row r="84" spans="3:6" x14ac:dyDescent="0.25">
      <c r="C84"/>
      <c r="D84"/>
      <c r="E84"/>
      <c r="F84"/>
    </row>
    <row r="85" spans="3:6" x14ac:dyDescent="0.25">
      <c r="C85"/>
      <c r="D85"/>
      <c r="E85"/>
      <c r="F85"/>
    </row>
    <row r="86" spans="3:6" x14ac:dyDescent="0.25">
      <c r="C86"/>
      <c r="D86"/>
      <c r="E86"/>
      <c r="F86"/>
    </row>
    <row r="87" spans="3:6" x14ac:dyDescent="0.25">
      <c r="C87"/>
      <c r="D87"/>
      <c r="E87"/>
      <c r="F87"/>
    </row>
    <row r="88" spans="3:6" x14ac:dyDescent="0.25">
      <c r="C88"/>
      <c r="D88"/>
      <c r="E88"/>
      <c r="F88"/>
    </row>
    <row r="89" spans="3:6" x14ac:dyDescent="0.25">
      <c r="C89"/>
      <c r="D89"/>
      <c r="E89"/>
      <c r="F89"/>
    </row>
    <row r="90" spans="3:6" x14ac:dyDescent="0.25">
      <c r="C90"/>
      <c r="D90"/>
      <c r="E90"/>
      <c r="F90"/>
    </row>
    <row r="91" spans="3:6" x14ac:dyDescent="0.25">
      <c r="C91"/>
      <c r="D91"/>
      <c r="E91"/>
      <c r="F91"/>
    </row>
    <row r="92" spans="3:6" x14ac:dyDescent="0.25">
      <c r="C92"/>
      <c r="D92"/>
      <c r="E92"/>
      <c r="F92"/>
    </row>
    <row r="93" spans="3:6" x14ac:dyDescent="0.25">
      <c r="C93"/>
      <c r="D93"/>
      <c r="E93"/>
      <c r="F93"/>
    </row>
    <row r="94" spans="3:6" x14ac:dyDescent="0.25">
      <c r="C94"/>
      <c r="D94"/>
      <c r="E94"/>
      <c r="F94"/>
    </row>
    <row r="95" spans="3:6" x14ac:dyDescent="0.25">
      <c r="C95"/>
      <c r="D95"/>
      <c r="E95"/>
      <c r="F95"/>
    </row>
    <row r="96" spans="3:6" x14ac:dyDescent="0.25">
      <c r="C96"/>
      <c r="D96"/>
      <c r="E96"/>
      <c r="F96"/>
    </row>
    <row r="97" spans="3:6" x14ac:dyDescent="0.25">
      <c r="C97"/>
      <c r="D97"/>
      <c r="E97"/>
      <c r="F97"/>
    </row>
    <row r="98" spans="3:6" x14ac:dyDescent="0.25">
      <c r="C98"/>
      <c r="D98"/>
      <c r="E98"/>
      <c r="F98"/>
    </row>
    <row r="99" spans="3:6" x14ac:dyDescent="0.25">
      <c r="C99"/>
      <c r="D99"/>
      <c r="E99"/>
      <c r="F99"/>
    </row>
    <row r="100" spans="3:6" x14ac:dyDescent="0.25">
      <c r="C100"/>
      <c r="D100"/>
      <c r="E100"/>
      <c r="F100"/>
    </row>
    <row r="101" spans="3:6" x14ac:dyDescent="0.25">
      <c r="C101"/>
      <c r="D101"/>
      <c r="E101"/>
      <c r="F101"/>
    </row>
    <row r="102" spans="3:6" x14ac:dyDescent="0.25">
      <c r="C102"/>
      <c r="D102"/>
      <c r="E102"/>
      <c r="F102"/>
    </row>
    <row r="103" spans="3:6" x14ac:dyDescent="0.25">
      <c r="C103"/>
      <c r="D103"/>
      <c r="E103"/>
      <c r="F103"/>
    </row>
    <row r="104" spans="3:6" x14ac:dyDescent="0.25">
      <c r="C104"/>
      <c r="D104"/>
      <c r="E104"/>
      <c r="F104"/>
    </row>
    <row r="105" spans="3:6" x14ac:dyDescent="0.25">
      <c r="C105"/>
      <c r="D105"/>
      <c r="E105"/>
      <c r="F105"/>
    </row>
    <row r="106" spans="3:6" x14ac:dyDescent="0.25">
      <c r="C106"/>
      <c r="D106"/>
      <c r="E106"/>
      <c r="F106"/>
    </row>
    <row r="107" spans="3:6" x14ac:dyDescent="0.25">
      <c r="C107"/>
      <c r="D107"/>
      <c r="E107"/>
      <c r="F107"/>
    </row>
    <row r="108" spans="3:6" x14ac:dyDescent="0.25">
      <c r="C108"/>
      <c r="D108"/>
      <c r="E108"/>
      <c r="F108"/>
    </row>
    <row r="109" spans="3:6" x14ac:dyDescent="0.25">
      <c r="C109"/>
      <c r="D109"/>
      <c r="E109"/>
      <c r="F109"/>
    </row>
    <row r="110" spans="3:6" x14ac:dyDescent="0.25">
      <c r="C110"/>
      <c r="D110"/>
      <c r="E110"/>
      <c r="F110"/>
    </row>
  </sheetData>
  <pageMargins left="0.3" right="0.3" top="0.75" bottom="0.75" header="0.3" footer="0.3"/>
  <pageSetup orientation="portrait" r:id="rId1"/>
  <colBreaks count="2" manualBreakCount="2">
    <brk id="4" max="1048575" man="1"/>
    <brk id="14" max="1048575" man="1"/>
  </colBreaks>
  <ignoredErrors>
    <ignoredError sqref="C32 C39 C38 C33:C34 C28:C30 C31 C40:D40 C41:D41 C44:D44 C45:D46 C47:D47 C48:D49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0"/>
  <sheetViews>
    <sheetView zoomScale="90" zoomScaleNormal="90" zoomScaleSheetLayoutView="50" workbookViewId="0">
      <selection activeCell="O27" sqref="O27"/>
    </sheetView>
  </sheetViews>
  <sheetFormatPr defaultRowHeight="15" x14ac:dyDescent="0.25"/>
  <cols>
    <col min="1" max="1" width="22.7109375" bestFit="1" customWidth="1"/>
    <col min="2" max="2" width="10.85546875" style="39" customWidth="1"/>
    <col min="3" max="3" width="12" style="39" customWidth="1"/>
    <col min="4" max="4" width="10.42578125" style="39" bestFit="1" customWidth="1"/>
    <col min="5" max="6" width="12.7109375" customWidth="1"/>
    <col min="7" max="7" width="9.28515625" bestFit="1" customWidth="1"/>
    <col min="8" max="8" width="6.28515625" customWidth="1"/>
    <col min="9" max="9" width="9" customWidth="1"/>
    <col min="10" max="10" width="6.85546875" customWidth="1"/>
    <col min="11" max="11" width="5.7109375" customWidth="1"/>
    <col min="12" max="12" width="5.42578125" customWidth="1"/>
    <col min="13" max="13" width="11.5703125" customWidth="1"/>
  </cols>
  <sheetData>
    <row r="1" spans="1:14" ht="27.6" customHeight="1" x14ac:dyDescent="0.3">
      <c r="A1" s="6" t="s">
        <v>512</v>
      </c>
      <c r="F1" s="59"/>
      <c r="G1" s="283"/>
      <c r="H1" s="284"/>
      <c r="I1" s="284"/>
      <c r="J1" s="284"/>
      <c r="K1" s="284"/>
      <c r="L1" s="284"/>
      <c r="M1" s="284"/>
      <c r="N1" s="4"/>
    </row>
    <row r="2" spans="1:14" ht="64.5" customHeight="1" x14ac:dyDescent="0.3">
      <c r="A2" s="23" t="s">
        <v>72</v>
      </c>
      <c r="B2" s="23" t="s">
        <v>511</v>
      </c>
      <c r="C2" s="23" t="s">
        <v>6</v>
      </c>
      <c r="D2" s="23"/>
      <c r="E2" s="23"/>
      <c r="F2" s="258"/>
      <c r="G2" s="174"/>
      <c r="H2" s="174"/>
      <c r="I2" s="174"/>
      <c r="J2" s="174"/>
      <c r="K2" s="174"/>
      <c r="L2" s="174"/>
      <c r="M2" s="259"/>
    </row>
    <row r="3" spans="1:14" ht="14.45" x14ac:dyDescent="0.3">
      <c r="A3" s="1">
        <v>41640</v>
      </c>
      <c r="B3" s="24">
        <v>0.78600000000000003</v>
      </c>
      <c r="C3" s="20">
        <v>0.9</v>
      </c>
      <c r="D3" s="102"/>
      <c r="E3" s="29"/>
      <c r="F3" s="124"/>
      <c r="G3" s="59"/>
      <c r="H3" s="59"/>
      <c r="I3" s="59"/>
      <c r="J3" s="59"/>
      <c r="K3" s="59"/>
      <c r="L3" s="59"/>
      <c r="M3" s="59"/>
    </row>
    <row r="4" spans="1:14" ht="14.45" x14ac:dyDescent="0.3">
      <c r="A4" s="1">
        <v>41671</v>
      </c>
      <c r="B4" s="24">
        <v>1</v>
      </c>
      <c r="C4" s="20">
        <v>0.9</v>
      </c>
      <c r="D4" s="102"/>
      <c r="E4" s="29"/>
      <c r="F4" s="124"/>
      <c r="G4" s="59"/>
      <c r="H4" s="59"/>
      <c r="I4" s="59"/>
      <c r="J4" s="59"/>
      <c r="K4" s="59"/>
      <c r="L4" s="59"/>
      <c r="M4" s="59"/>
    </row>
    <row r="5" spans="1:14" ht="14.45" x14ac:dyDescent="0.3">
      <c r="A5" s="1">
        <v>41699</v>
      </c>
      <c r="B5" s="24">
        <v>0.87</v>
      </c>
      <c r="C5" s="20">
        <v>0.9</v>
      </c>
      <c r="D5" s="102"/>
      <c r="E5" s="29"/>
      <c r="F5" s="124"/>
      <c r="G5" s="59"/>
      <c r="H5" s="59"/>
      <c r="I5" s="59"/>
      <c r="J5" s="59"/>
      <c r="K5" s="59"/>
      <c r="L5" s="59"/>
      <c r="M5" s="59"/>
    </row>
    <row r="6" spans="1:14" ht="14.45" x14ac:dyDescent="0.3">
      <c r="A6" s="1">
        <v>41730</v>
      </c>
      <c r="B6" s="24">
        <v>0.52900000000000003</v>
      </c>
      <c r="C6" s="20">
        <v>0.9</v>
      </c>
      <c r="D6" s="102"/>
      <c r="E6" s="29"/>
      <c r="F6" s="124"/>
      <c r="G6" s="59"/>
      <c r="H6" s="59"/>
      <c r="I6" s="59"/>
      <c r="J6" s="59"/>
      <c r="K6" s="59"/>
      <c r="L6" s="59"/>
      <c r="M6" s="59"/>
    </row>
    <row r="7" spans="1:14" ht="14.45" x14ac:dyDescent="0.3">
      <c r="A7" s="1">
        <v>41760</v>
      </c>
      <c r="B7" s="24">
        <v>0.52900000000000003</v>
      </c>
      <c r="C7" s="20">
        <v>0.9</v>
      </c>
      <c r="D7" s="102"/>
      <c r="E7" s="29"/>
      <c r="F7" s="124"/>
      <c r="G7" s="59"/>
      <c r="H7" s="59"/>
      <c r="I7" s="59"/>
      <c r="J7" s="59"/>
      <c r="K7" s="59"/>
      <c r="L7" s="59"/>
      <c r="M7" s="59"/>
    </row>
    <row r="8" spans="1:14" ht="14.45" x14ac:dyDescent="0.3">
      <c r="A8" s="1">
        <v>41791</v>
      </c>
      <c r="B8" s="24">
        <v>0.76</v>
      </c>
      <c r="C8" s="20">
        <v>0.9</v>
      </c>
      <c r="D8" s="102"/>
      <c r="E8" s="29"/>
      <c r="F8" s="124"/>
      <c r="G8" s="59"/>
      <c r="H8" s="59"/>
      <c r="I8" s="59"/>
      <c r="J8" s="59"/>
      <c r="K8" s="59"/>
      <c r="L8" s="59"/>
      <c r="M8" s="59"/>
    </row>
    <row r="9" spans="1:14" ht="14.45" x14ac:dyDescent="0.3">
      <c r="A9" s="1">
        <v>41821</v>
      </c>
      <c r="B9" s="24">
        <v>0.54800000000000004</v>
      </c>
      <c r="C9" s="20">
        <v>0.9</v>
      </c>
      <c r="D9" s="102"/>
      <c r="E9" s="29"/>
      <c r="F9" s="124"/>
      <c r="G9" s="59"/>
      <c r="H9" s="59"/>
      <c r="I9" s="59"/>
      <c r="J9" s="59"/>
      <c r="K9" s="59"/>
      <c r="L9" s="59"/>
      <c r="M9" s="59"/>
    </row>
    <row r="10" spans="1:14" ht="14.45" x14ac:dyDescent="0.3">
      <c r="A10" s="1">
        <v>41852</v>
      </c>
      <c r="B10" s="24">
        <v>0.54800000000000004</v>
      </c>
      <c r="C10" s="20">
        <v>0.9</v>
      </c>
      <c r="D10" s="102"/>
      <c r="E10" s="29"/>
      <c r="F10" s="124"/>
      <c r="G10" s="59"/>
      <c r="H10" s="59"/>
      <c r="I10" s="59"/>
      <c r="J10" s="59"/>
      <c r="K10" s="59"/>
      <c r="L10" s="59"/>
      <c r="M10" s="59"/>
    </row>
    <row r="11" spans="1:14" ht="14.45" x14ac:dyDescent="0.3">
      <c r="A11" s="1">
        <v>41883</v>
      </c>
      <c r="B11" s="24">
        <v>0.80100000000000005</v>
      </c>
      <c r="C11" s="20">
        <v>0.9</v>
      </c>
      <c r="D11" s="102"/>
      <c r="E11" s="29"/>
      <c r="F11" s="124"/>
      <c r="G11" s="59"/>
      <c r="H11" s="59"/>
      <c r="I11" s="59"/>
      <c r="J11" s="59"/>
      <c r="K11" s="59"/>
      <c r="L11" s="59"/>
      <c r="M11" s="59"/>
    </row>
    <row r="14" spans="1:14" x14ac:dyDescent="0.25">
      <c r="N14" s="148"/>
    </row>
    <row r="33" ht="41.45" customHeight="1" x14ac:dyDescent="0.25"/>
    <row r="88" ht="14.45" customHeight="1" x14ac:dyDescent="0.25"/>
    <row r="100" spans="1:19" s="113" customFormat="1" x14ac:dyDescent="0.25">
      <c r="A100"/>
      <c r="B100" s="39"/>
      <c r="C100" s="39"/>
      <c r="D100" s="39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</sheetData>
  <mergeCells count="1">
    <mergeCell ref="G1:M1"/>
  </mergeCells>
  <pageMargins left="0.25" right="0.25" top="0.75" bottom="0.75" header="0.3" footer="0.3"/>
  <pageSetup scale="98" fitToHeight="0" orientation="landscape" r:id="rId1"/>
  <rowBreaks count="1" manualBreakCount="1">
    <brk id="1" max="13" man="1"/>
  </rowBreaks>
  <colBreaks count="2" manualBreakCount="2">
    <brk id="2" max="1048575" man="1"/>
    <brk id="12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174"/>
  <sheetViews>
    <sheetView topLeftCell="A151" zoomScale="90" zoomScaleNormal="90" zoomScaleSheetLayoutView="50" workbookViewId="0">
      <selection activeCell="M161" sqref="M161"/>
    </sheetView>
  </sheetViews>
  <sheetFormatPr defaultRowHeight="15" x14ac:dyDescent="0.25"/>
  <cols>
    <col min="1" max="1" width="14.5703125" customWidth="1"/>
    <col min="2" max="2" width="10.85546875" style="18" customWidth="1"/>
    <col min="3" max="3" width="12" style="18" customWidth="1"/>
    <col min="4" max="4" width="10.42578125" style="18" bestFit="1" customWidth="1"/>
    <col min="5" max="6" width="12.7109375" customWidth="1"/>
    <col min="7" max="7" width="9.28515625" bestFit="1" customWidth="1"/>
    <col min="8" max="8" width="6.28515625" customWidth="1"/>
    <col min="9" max="9" width="9" customWidth="1"/>
    <col min="10" max="10" width="6.85546875" customWidth="1"/>
    <col min="11" max="11" width="5.7109375" customWidth="1"/>
    <col min="12" max="12" width="5.42578125" customWidth="1"/>
    <col min="13" max="13" width="11.5703125" customWidth="1"/>
  </cols>
  <sheetData>
    <row r="1" spans="1:14" ht="27.6" customHeight="1" x14ac:dyDescent="0.3">
      <c r="A1" s="6"/>
      <c r="G1" s="285" t="s">
        <v>358</v>
      </c>
      <c r="H1" s="286"/>
      <c r="I1" s="286"/>
      <c r="J1" s="286"/>
      <c r="K1" s="286"/>
      <c r="L1" s="286"/>
      <c r="M1" s="287"/>
      <c r="N1" s="4"/>
    </row>
    <row r="2" spans="1:14" ht="65.45" customHeight="1" x14ac:dyDescent="0.3">
      <c r="A2" s="6" t="s">
        <v>4</v>
      </c>
      <c r="B2" s="23" t="s">
        <v>53</v>
      </c>
      <c r="C2" s="23" t="s">
        <v>6</v>
      </c>
      <c r="D2" s="23" t="s">
        <v>7</v>
      </c>
      <c r="E2" s="23" t="s">
        <v>233</v>
      </c>
      <c r="F2" s="23" t="s">
        <v>229</v>
      </c>
      <c r="G2" s="173" t="s">
        <v>303</v>
      </c>
      <c r="H2" s="174" t="s">
        <v>219</v>
      </c>
      <c r="I2" s="174" t="s">
        <v>220</v>
      </c>
      <c r="J2" s="174" t="s">
        <v>221</v>
      </c>
      <c r="K2" s="174" t="s">
        <v>222</v>
      </c>
      <c r="L2" s="174" t="s">
        <v>223</v>
      </c>
      <c r="M2" s="175"/>
    </row>
    <row r="3" spans="1:14" ht="14.45" x14ac:dyDescent="0.3">
      <c r="A3" s="1">
        <v>40848</v>
      </c>
      <c r="B3" s="24"/>
      <c r="C3" s="20">
        <v>0.9</v>
      </c>
      <c r="D3" s="102">
        <v>0</v>
      </c>
      <c r="E3" s="29">
        <v>0</v>
      </c>
      <c r="F3" s="29"/>
      <c r="G3" s="176"/>
      <c r="H3" s="59"/>
      <c r="I3" s="59"/>
      <c r="J3" s="59"/>
      <c r="K3" s="59"/>
      <c r="L3" s="59"/>
      <c r="M3" s="168"/>
    </row>
    <row r="4" spans="1:14" ht="14.45" x14ac:dyDescent="0.3">
      <c r="A4" s="1">
        <v>40878</v>
      </c>
      <c r="B4" s="24"/>
      <c r="C4" s="20">
        <v>0.9</v>
      </c>
      <c r="D4" s="102">
        <v>0</v>
      </c>
      <c r="E4" s="29">
        <v>0</v>
      </c>
      <c r="F4" s="29"/>
      <c r="G4" s="176"/>
      <c r="H4" s="59"/>
      <c r="I4" s="59"/>
      <c r="J4" s="59"/>
      <c r="K4" s="59"/>
      <c r="L4" s="59"/>
      <c r="M4" s="168"/>
    </row>
    <row r="5" spans="1:14" ht="14.45" x14ac:dyDescent="0.3">
      <c r="A5" s="1">
        <v>40909</v>
      </c>
      <c r="B5" s="24"/>
      <c r="C5" s="20">
        <v>0.9</v>
      </c>
      <c r="D5" s="9">
        <v>0</v>
      </c>
      <c r="E5" s="29">
        <v>0</v>
      </c>
      <c r="F5" s="29"/>
      <c r="G5" s="176"/>
      <c r="H5" s="59"/>
      <c r="I5" s="59"/>
      <c r="J5" s="59"/>
      <c r="K5" s="59"/>
      <c r="L5" s="59"/>
      <c r="M5" s="168"/>
    </row>
    <row r="6" spans="1:14" ht="14.45" x14ac:dyDescent="0.3">
      <c r="A6" s="1">
        <v>40940</v>
      </c>
      <c r="B6" s="24">
        <v>0.75</v>
      </c>
      <c r="C6" s="20">
        <v>0.9</v>
      </c>
      <c r="D6" s="9">
        <v>32.299999999999997</v>
      </c>
      <c r="E6" s="29">
        <v>5</v>
      </c>
      <c r="F6" s="29"/>
      <c r="G6" s="176"/>
      <c r="H6" s="59"/>
      <c r="I6" s="59"/>
      <c r="J6" s="59"/>
      <c r="K6" s="59"/>
      <c r="L6" s="59"/>
      <c r="M6" s="168"/>
    </row>
    <row r="7" spans="1:14" ht="14.45" x14ac:dyDescent="0.3">
      <c r="A7" s="1">
        <v>40969</v>
      </c>
      <c r="B7" s="24">
        <v>0.83</v>
      </c>
      <c r="C7" s="20">
        <v>0.9</v>
      </c>
      <c r="D7" s="9">
        <v>27</v>
      </c>
      <c r="E7" s="29">
        <v>12</v>
      </c>
      <c r="F7" s="29"/>
      <c r="G7" s="176"/>
      <c r="H7" s="59"/>
      <c r="I7" s="59"/>
      <c r="J7" s="59"/>
      <c r="K7" s="59"/>
      <c r="L7" s="59"/>
      <c r="M7" s="168"/>
    </row>
    <row r="8" spans="1:14" ht="14.45" x14ac:dyDescent="0.3">
      <c r="A8" s="1">
        <v>41000</v>
      </c>
      <c r="B8" s="24">
        <v>0.5</v>
      </c>
      <c r="C8" s="20">
        <v>0.9</v>
      </c>
      <c r="D8" s="9">
        <v>26</v>
      </c>
      <c r="E8" s="29">
        <v>2</v>
      </c>
      <c r="F8" s="29"/>
      <c r="G8" s="176"/>
      <c r="H8" s="59"/>
      <c r="I8" s="59"/>
      <c r="J8" s="59"/>
      <c r="K8" s="59"/>
      <c r="L8" s="59"/>
      <c r="M8" s="168"/>
    </row>
    <row r="9" spans="1:14" ht="14.45" x14ac:dyDescent="0.3">
      <c r="A9" s="1">
        <v>41030</v>
      </c>
      <c r="B9" s="24">
        <v>0.55600000000000005</v>
      </c>
      <c r="C9" s="20">
        <v>0.9</v>
      </c>
      <c r="D9" s="9">
        <v>28.2</v>
      </c>
      <c r="E9" s="29">
        <v>5</v>
      </c>
      <c r="F9" s="29"/>
      <c r="G9" s="176"/>
      <c r="H9" s="59"/>
      <c r="I9" s="59"/>
      <c r="J9" s="59"/>
      <c r="K9" s="59"/>
      <c r="L9" s="59"/>
      <c r="M9" s="168"/>
    </row>
    <row r="10" spans="1:14" ht="14.45" x14ac:dyDescent="0.3">
      <c r="A10" s="1">
        <v>41061</v>
      </c>
      <c r="B10" s="24">
        <v>0.6</v>
      </c>
      <c r="C10" s="20">
        <v>0.9</v>
      </c>
      <c r="D10" s="9">
        <v>18</v>
      </c>
      <c r="E10" s="29">
        <v>3</v>
      </c>
      <c r="F10" s="29"/>
      <c r="G10" s="176"/>
      <c r="H10" s="59"/>
      <c r="I10" s="59"/>
      <c r="J10" s="59"/>
      <c r="K10" s="59"/>
      <c r="L10" s="59"/>
      <c r="M10" s="168"/>
    </row>
    <row r="11" spans="1:14" ht="14.45" x14ac:dyDescent="0.3">
      <c r="A11" s="1">
        <v>41091</v>
      </c>
      <c r="B11" s="24">
        <v>0.22</v>
      </c>
      <c r="C11" s="20">
        <v>0.9</v>
      </c>
      <c r="D11" s="9">
        <v>66</v>
      </c>
      <c r="E11" s="92">
        <v>9</v>
      </c>
      <c r="F11" s="92">
        <v>2</v>
      </c>
      <c r="G11" s="167">
        <v>0</v>
      </c>
      <c r="H11" s="124">
        <v>6</v>
      </c>
      <c r="I11" s="124">
        <v>8</v>
      </c>
      <c r="J11" s="124">
        <v>8</v>
      </c>
      <c r="K11" s="124">
        <v>3</v>
      </c>
      <c r="L11" s="124">
        <v>2</v>
      </c>
      <c r="M11" s="169"/>
    </row>
    <row r="12" spans="1:14" ht="14.45" x14ac:dyDescent="0.3">
      <c r="A12" s="1">
        <v>41122</v>
      </c>
      <c r="B12" s="24">
        <v>0.25</v>
      </c>
      <c r="C12" s="20">
        <v>0.9</v>
      </c>
      <c r="D12" s="9">
        <v>48</v>
      </c>
      <c r="E12" s="29">
        <v>12</v>
      </c>
      <c r="F12" s="29">
        <v>3</v>
      </c>
      <c r="G12" s="167">
        <v>0</v>
      </c>
      <c r="H12" s="124">
        <v>0</v>
      </c>
      <c r="I12" s="124">
        <v>3</v>
      </c>
      <c r="J12" s="124">
        <v>8</v>
      </c>
      <c r="K12" s="124">
        <v>0</v>
      </c>
      <c r="L12" s="124">
        <v>1</v>
      </c>
      <c r="M12" s="169"/>
    </row>
    <row r="13" spans="1:14" s="113" customFormat="1" ht="14.45" x14ac:dyDescent="0.3">
      <c r="A13" s="108">
        <v>41153</v>
      </c>
      <c r="B13" s="109">
        <v>0.27300000000000002</v>
      </c>
      <c r="C13" s="110">
        <v>0.9</v>
      </c>
      <c r="D13" s="111">
        <v>68</v>
      </c>
      <c r="E13" s="112">
        <v>11</v>
      </c>
      <c r="F13" s="112">
        <v>3</v>
      </c>
      <c r="G13" s="170">
        <v>0</v>
      </c>
      <c r="H13" s="125">
        <v>0</v>
      </c>
      <c r="I13" s="125">
        <v>3</v>
      </c>
      <c r="J13" s="125">
        <v>3</v>
      </c>
      <c r="K13" s="125">
        <v>2</v>
      </c>
      <c r="L13" s="125">
        <v>3</v>
      </c>
      <c r="M13" s="177"/>
    </row>
    <row r="14" spans="1:14" ht="14.45" x14ac:dyDescent="0.3">
      <c r="A14" s="1">
        <v>41183</v>
      </c>
      <c r="B14" s="24">
        <v>0.90900000000000003</v>
      </c>
      <c r="C14" s="20">
        <v>0.9</v>
      </c>
      <c r="D14" s="9">
        <v>34</v>
      </c>
      <c r="E14" s="29">
        <v>11</v>
      </c>
      <c r="F14" s="29">
        <v>10</v>
      </c>
      <c r="G14" s="167">
        <v>0</v>
      </c>
      <c r="H14" s="124">
        <v>1</v>
      </c>
      <c r="I14" s="124">
        <v>9</v>
      </c>
      <c r="J14" s="124">
        <v>0</v>
      </c>
      <c r="K14" s="124">
        <v>0</v>
      </c>
      <c r="L14" s="124">
        <v>1</v>
      </c>
      <c r="M14" s="168"/>
    </row>
    <row r="15" spans="1:14" ht="14.45" x14ac:dyDescent="0.3">
      <c r="A15" s="1">
        <v>41214</v>
      </c>
      <c r="B15" s="24">
        <v>0.85699999999999998</v>
      </c>
      <c r="C15" s="20">
        <v>0.9</v>
      </c>
      <c r="D15" s="9">
        <v>28</v>
      </c>
      <c r="E15" s="29">
        <v>7</v>
      </c>
      <c r="F15" s="29">
        <v>6</v>
      </c>
      <c r="G15" s="167">
        <v>1</v>
      </c>
      <c r="H15" s="124">
        <v>0</v>
      </c>
      <c r="I15" s="124">
        <v>5</v>
      </c>
      <c r="J15" s="124">
        <v>1</v>
      </c>
      <c r="K15" s="124">
        <v>0</v>
      </c>
      <c r="L15" s="124">
        <v>0</v>
      </c>
      <c r="M15" s="168"/>
    </row>
    <row r="16" spans="1:14" ht="14.45" x14ac:dyDescent="0.3">
      <c r="A16" s="1">
        <v>41244</v>
      </c>
      <c r="B16" s="24">
        <v>1</v>
      </c>
      <c r="C16" s="20">
        <v>0.9</v>
      </c>
      <c r="D16" s="9">
        <v>9</v>
      </c>
      <c r="E16" s="29">
        <v>2</v>
      </c>
      <c r="F16" s="29">
        <v>2</v>
      </c>
      <c r="G16" s="167">
        <v>1</v>
      </c>
      <c r="H16" s="124">
        <v>1</v>
      </c>
      <c r="I16" s="124">
        <v>0</v>
      </c>
      <c r="J16" s="124">
        <v>0</v>
      </c>
      <c r="K16" s="124">
        <v>0</v>
      </c>
      <c r="L16" s="124">
        <v>0</v>
      </c>
      <c r="M16" s="168"/>
    </row>
    <row r="17" spans="1:14" ht="14.45" x14ac:dyDescent="0.3">
      <c r="A17" s="1">
        <v>41275</v>
      </c>
      <c r="B17" s="24">
        <v>0.2</v>
      </c>
      <c r="C17" s="20">
        <v>0.9</v>
      </c>
      <c r="D17" s="9">
        <v>61</v>
      </c>
      <c r="E17" s="29">
        <v>5</v>
      </c>
      <c r="F17" s="29">
        <v>1</v>
      </c>
      <c r="G17" s="167">
        <v>1</v>
      </c>
      <c r="H17" s="124">
        <v>0</v>
      </c>
      <c r="I17" s="124">
        <v>0</v>
      </c>
      <c r="J17" s="124">
        <v>1</v>
      </c>
      <c r="K17" s="124">
        <v>2</v>
      </c>
      <c r="L17" s="124">
        <v>1</v>
      </c>
      <c r="M17" s="168"/>
    </row>
    <row r="18" spans="1:14" ht="14.45" x14ac:dyDescent="0.3">
      <c r="A18" s="1">
        <v>41306</v>
      </c>
      <c r="B18" s="24"/>
      <c r="C18" s="20">
        <v>0.9</v>
      </c>
      <c r="D18" s="9"/>
      <c r="E18" s="29"/>
      <c r="F18" s="29"/>
      <c r="G18" s="167">
        <v>0</v>
      </c>
      <c r="H18" s="124">
        <v>0</v>
      </c>
      <c r="I18" s="124">
        <v>0</v>
      </c>
      <c r="J18" s="124">
        <v>0</v>
      </c>
      <c r="K18" s="124">
        <v>0</v>
      </c>
      <c r="L18" s="124">
        <v>0</v>
      </c>
      <c r="M18" s="168"/>
    </row>
    <row r="19" spans="1:14" ht="14.45" x14ac:dyDescent="0.3">
      <c r="A19" s="1">
        <v>41334</v>
      </c>
      <c r="B19" s="24">
        <v>0.42899999999999999</v>
      </c>
      <c r="C19" s="20">
        <v>0.9</v>
      </c>
      <c r="D19" s="29">
        <v>86</v>
      </c>
      <c r="E19" s="29">
        <v>7</v>
      </c>
      <c r="F19" s="29">
        <v>3</v>
      </c>
      <c r="G19" s="167">
        <v>0</v>
      </c>
      <c r="H19" s="125">
        <v>0</v>
      </c>
      <c r="I19" s="125">
        <v>3</v>
      </c>
      <c r="J19" s="125">
        <v>1</v>
      </c>
      <c r="K19" s="125">
        <v>1</v>
      </c>
      <c r="L19" s="125">
        <v>2</v>
      </c>
      <c r="M19" s="168"/>
    </row>
    <row r="20" spans="1:14" ht="14.45" x14ac:dyDescent="0.3">
      <c r="A20" s="1">
        <v>41365</v>
      </c>
      <c r="B20" s="24">
        <v>0.55600000000000005</v>
      </c>
      <c r="C20" s="20">
        <v>0.9</v>
      </c>
      <c r="D20" s="29">
        <v>39</v>
      </c>
      <c r="E20" s="29">
        <v>9</v>
      </c>
      <c r="F20" s="125">
        <v>5</v>
      </c>
      <c r="G20" s="170">
        <v>2</v>
      </c>
      <c r="H20" s="124">
        <v>1</v>
      </c>
      <c r="I20" s="124">
        <v>2</v>
      </c>
      <c r="J20" s="124">
        <v>1</v>
      </c>
      <c r="K20" s="124">
        <v>3</v>
      </c>
      <c r="L20" s="124">
        <v>0</v>
      </c>
      <c r="M20" s="168"/>
    </row>
    <row r="21" spans="1:14" ht="14.45" x14ac:dyDescent="0.3">
      <c r="A21" s="1">
        <v>41395</v>
      </c>
      <c r="B21" s="24">
        <v>0.57099999999999995</v>
      </c>
      <c r="C21" s="20">
        <v>0.9</v>
      </c>
      <c r="D21" s="29">
        <v>44</v>
      </c>
      <c r="E21" s="29">
        <v>7</v>
      </c>
      <c r="F21" s="125">
        <v>4</v>
      </c>
      <c r="G21" s="170">
        <v>0</v>
      </c>
      <c r="H21" s="124">
        <v>0</v>
      </c>
      <c r="I21" s="124">
        <v>4</v>
      </c>
      <c r="J21" s="124">
        <v>1</v>
      </c>
      <c r="K21" s="124">
        <v>2</v>
      </c>
      <c r="L21" s="124">
        <v>0</v>
      </c>
      <c r="M21" s="168"/>
    </row>
    <row r="22" spans="1:14" ht="14.45" x14ac:dyDescent="0.3">
      <c r="A22" s="1">
        <v>41426</v>
      </c>
      <c r="B22" s="24"/>
      <c r="C22" s="20">
        <v>0.9</v>
      </c>
      <c r="D22" s="29"/>
      <c r="E22" s="29"/>
      <c r="F22" s="125"/>
      <c r="G22" s="170">
        <v>0</v>
      </c>
      <c r="H22" s="124">
        <v>0</v>
      </c>
      <c r="I22" s="124">
        <v>0</v>
      </c>
      <c r="J22" s="124">
        <v>0</v>
      </c>
      <c r="K22" s="124">
        <v>0</v>
      </c>
      <c r="L22" s="124">
        <v>0</v>
      </c>
      <c r="M22" s="168"/>
    </row>
    <row r="23" spans="1:14" ht="14.45" x14ac:dyDescent="0.3">
      <c r="A23" s="1">
        <v>41456</v>
      </c>
      <c r="B23" s="24">
        <v>0.13300000000000001</v>
      </c>
      <c r="C23" s="20">
        <v>0.9</v>
      </c>
      <c r="D23" s="29">
        <v>52</v>
      </c>
      <c r="E23" s="29">
        <v>15</v>
      </c>
      <c r="F23" s="125">
        <v>2</v>
      </c>
      <c r="G23" s="170">
        <v>0</v>
      </c>
      <c r="H23" s="124">
        <v>0</v>
      </c>
      <c r="I23" s="124">
        <v>2</v>
      </c>
      <c r="J23" s="124">
        <v>8</v>
      </c>
      <c r="K23" s="124">
        <v>4</v>
      </c>
      <c r="L23" s="124">
        <v>1</v>
      </c>
      <c r="M23" s="168"/>
    </row>
    <row r="24" spans="1:14" ht="14.45" x14ac:dyDescent="0.3">
      <c r="A24" s="1">
        <v>41487</v>
      </c>
      <c r="B24" s="24">
        <v>0.2</v>
      </c>
      <c r="C24" s="20">
        <v>0.9</v>
      </c>
      <c r="D24" s="29">
        <v>64</v>
      </c>
      <c r="E24" s="29">
        <v>5</v>
      </c>
      <c r="F24" s="125">
        <v>1</v>
      </c>
      <c r="G24" s="170">
        <v>0</v>
      </c>
      <c r="H24" s="124">
        <v>0</v>
      </c>
      <c r="I24" s="124">
        <v>1</v>
      </c>
      <c r="J24" s="124">
        <v>1</v>
      </c>
      <c r="K24" s="124">
        <v>2</v>
      </c>
      <c r="L24" s="124">
        <v>1</v>
      </c>
      <c r="M24" s="168"/>
    </row>
    <row r="25" spans="1:14" ht="14.45" x14ac:dyDescent="0.3">
      <c r="A25" s="1">
        <v>41518</v>
      </c>
      <c r="B25" s="20">
        <v>0.33</v>
      </c>
      <c r="C25" s="20">
        <v>0.9</v>
      </c>
      <c r="D25" s="29">
        <v>34</v>
      </c>
      <c r="E25" s="29">
        <v>6</v>
      </c>
      <c r="F25" s="125">
        <v>2</v>
      </c>
      <c r="G25" s="170">
        <v>1</v>
      </c>
      <c r="H25" s="124">
        <v>0</v>
      </c>
      <c r="I25" s="124">
        <v>1</v>
      </c>
      <c r="J25" s="124">
        <v>4</v>
      </c>
      <c r="K25" s="124">
        <v>0</v>
      </c>
      <c r="L25" s="124">
        <v>0</v>
      </c>
      <c r="M25" s="168"/>
    </row>
    <row r="26" spans="1:14" ht="14.45" x14ac:dyDescent="0.3">
      <c r="A26" s="1">
        <v>41548</v>
      </c>
      <c r="B26" s="24">
        <v>0.25</v>
      </c>
      <c r="C26" s="20">
        <v>0.9</v>
      </c>
      <c r="D26" s="29">
        <v>62</v>
      </c>
      <c r="E26" s="29">
        <v>8</v>
      </c>
      <c r="F26" s="125">
        <v>2</v>
      </c>
      <c r="G26" s="170">
        <v>0</v>
      </c>
      <c r="H26" s="124">
        <v>0</v>
      </c>
      <c r="I26" s="124">
        <v>2</v>
      </c>
      <c r="J26" s="124">
        <v>2</v>
      </c>
      <c r="K26" s="124">
        <v>2</v>
      </c>
      <c r="L26" s="124">
        <v>2</v>
      </c>
      <c r="M26" s="168"/>
    </row>
    <row r="27" spans="1:14" ht="14.45" x14ac:dyDescent="0.3">
      <c r="A27" s="1">
        <v>41579</v>
      </c>
      <c r="B27" s="24">
        <v>1</v>
      </c>
      <c r="C27" s="20">
        <v>0.9</v>
      </c>
      <c r="D27" s="29">
        <v>14</v>
      </c>
      <c r="E27" s="29">
        <v>1</v>
      </c>
      <c r="F27" s="125">
        <v>1</v>
      </c>
      <c r="G27" s="199">
        <v>0</v>
      </c>
      <c r="H27" s="172">
        <v>1</v>
      </c>
      <c r="I27" s="172">
        <v>0</v>
      </c>
      <c r="J27" s="172">
        <v>0</v>
      </c>
      <c r="K27" s="172">
        <v>0</v>
      </c>
      <c r="L27" s="172">
        <v>0</v>
      </c>
      <c r="M27" s="178"/>
    </row>
    <row r="28" spans="1:14" ht="14.45" x14ac:dyDescent="0.3">
      <c r="B28" s="39"/>
      <c r="C28" s="39"/>
      <c r="D28" s="39"/>
    </row>
    <row r="29" spans="1:14" ht="14.45" x14ac:dyDescent="0.3">
      <c r="B29" s="39"/>
      <c r="C29" s="39"/>
      <c r="D29" s="39"/>
    </row>
    <row r="30" spans="1:14" ht="14.45" x14ac:dyDescent="0.3">
      <c r="B30" s="39"/>
      <c r="C30" s="39"/>
      <c r="D30" s="39"/>
      <c r="N30" s="148"/>
    </row>
    <row r="31" spans="1:14" ht="14.45" x14ac:dyDescent="0.3">
      <c r="B31" s="39"/>
      <c r="C31" s="39"/>
      <c r="D31" s="39"/>
    </row>
    <row r="32" spans="1:14" ht="14.45" x14ac:dyDescent="0.3">
      <c r="B32" s="39"/>
      <c r="C32" s="39"/>
      <c r="D32" s="39"/>
    </row>
    <row r="33" spans="2:4" ht="14.45" x14ac:dyDescent="0.3">
      <c r="B33" s="39"/>
      <c r="C33" s="39"/>
      <c r="D33" s="39"/>
    </row>
    <row r="34" spans="2:4" ht="14.45" x14ac:dyDescent="0.3">
      <c r="B34" s="39"/>
      <c r="C34" s="39"/>
      <c r="D34" s="39"/>
    </row>
    <row r="35" spans="2:4" ht="14.45" x14ac:dyDescent="0.3">
      <c r="B35" s="39"/>
      <c r="C35" s="39"/>
      <c r="D35" s="39"/>
    </row>
    <row r="36" spans="2:4" ht="14.45" x14ac:dyDescent="0.3">
      <c r="B36" s="39"/>
      <c r="C36" s="39"/>
      <c r="D36" s="39"/>
    </row>
    <row r="37" spans="2:4" ht="14.45" x14ac:dyDescent="0.3">
      <c r="B37" s="39"/>
      <c r="C37" s="39"/>
      <c r="D37" s="39"/>
    </row>
    <row r="38" spans="2:4" ht="14.45" x14ac:dyDescent="0.3">
      <c r="B38" s="39"/>
      <c r="C38" s="39"/>
      <c r="D38" s="39"/>
    </row>
    <row r="41" spans="2:4" ht="14.45" x14ac:dyDescent="0.3">
      <c r="B41" s="39"/>
      <c r="C41" s="39"/>
      <c r="D41" s="39"/>
    </row>
    <row r="42" spans="2:4" ht="14.45" x14ac:dyDescent="0.3">
      <c r="B42" s="39"/>
      <c r="C42" s="39"/>
      <c r="D42" s="39"/>
    </row>
    <row r="43" spans="2:4" ht="14.45" x14ac:dyDescent="0.3">
      <c r="B43" s="39"/>
      <c r="C43" s="39"/>
      <c r="D43" s="39"/>
    </row>
    <row r="44" spans="2:4" ht="14.45" x14ac:dyDescent="0.3">
      <c r="B44" s="39"/>
      <c r="C44" s="39"/>
      <c r="D44" s="39"/>
    </row>
    <row r="45" spans="2:4" ht="14.45" x14ac:dyDescent="0.3">
      <c r="B45" s="39"/>
      <c r="C45" s="39"/>
      <c r="D45" s="39"/>
    </row>
    <row r="46" spans="2:4" ht="14.45" x14ac:dyDescent="0.3">
      <c r="B46" s="39"/>
      <c r="C46" s="39"/>
      <c r="D46" s="39"/>
    </row>
    <row r="47" spans="2:4" ht="14.45" x14ac:dyDescent="0.3">
      <c r="B47" s="39"/>
      <c r="C47" s="39"/>
      <c r="D47" s="39"/>
    </row>
    <row r="48" spans="2:4" ht="14.45" x14ac:dyDescent="0.3">
      <c r="B48" s="39"/>
      <c r="C48" s="39"/>
      <c r="D48" s="39"/>
    </row>
    <row r="49" spans="1:13" ht="41.45" customHeight="1" x14ac:dyDescent="0.3">
      <c r="A49" t="s">
        <v>72</v>
      </c>
      <c r="B49" s="23" t="s">
        <v>262</v>
      </c>
      <c r="C49" s="49" t="s">
        <v>263</v>
      </c>
      <c r="D49" s="49" t="s">
        <v>219</v>
      </c>
      <c r="E49" s="49" t="s">
        <v>220</v>
      </c>
      <c r="F49" s="49" t="s">
        <v>221</v>
      </c>
      <c r="G49" s="49" t="s">
        <v>222</v>
      </c>
      <c r="H49" s="49" t="s">
        <v>223</v>
      </c>
      <c r="I49" s="49"/>
    </row>
    <row r="50" spans="1:13" ht="14.45" x14ac:dyDescent="0.3">
      <c r="A50" s="47" t="s">
        <v>184</v>
      </c>
      <c r="B50" s="39">
        <v>24</v>
      </c>
      <c r="C50" s="39">
        <v>0</v>
      </c>
      <c r="D50" s="39">
        <v>5</v>
      </c>
      <c r="E50" s="39">
        <v>2</v>
      </c>
      <c r="F50" s="39">
        <v>9</v>
      </c>
      <c r="G50" s="39">
        <v>6</v>
      </c>
      <c r="H50" s="39">
        <v>2</v>
      </c>
      <c r="I50" s="39"/>
    </row>
    <row r="51" spans="1:13" ht="14.45" x14ac:dyDescent="0.3">
      <c r="A51" s="47" t="s">
        <v>55</v>
      </c>
      <c r="B51" s="41">
        <v>27</v>
      </c>
      <c r="C51" s="61">
        <v>0</v>
      </c>
      <c r="D51" s="56">
        <v>6</v>
      </c>
      <c r="E51" s="56">
        <v>8</v>
      </c>
      <c r="F51" s="56">
        <v>8</v>
      </c>
      <c r="G51" s="56">
        <v>3</v>
      </c>
      <c r="H51" s="56">
        <v>2</v>
      </c>
      <c r="I51" s="67"/>
    </row>
    <row r="52" spans="1:13" ht="14.45" x14ac:dyDescent="0.3">
      <c r="A52" s="47" t="s">
        <v>369</v>
      </c>
      <c r="B52" s="39">
        <v>22</v>
      </c>
      <c r="C52" s="61">
        <v>0</v>
      </c>
      <c r="D52" s="56">
        <v>4</v>
      </c>
      <c r="E52" s="56">
        <v>1</v>
      </c>
      <c r="F52" s="56">
        <v>7</v>
      </c>
      <c r="G52" s="56">
        <v>6</v>
      </c>
      <c r="H52" s="56">
        <v>4</v>
      </c>
      <c r="I52" s="23"/>
      <c r="J52" s="49"/>
      <c r="K52" s="49"/>
      <c r="L52" s="49"/>
      <c r="M52" s="101"/>
    </row>
    <row r="53" spans="1:13" ht="14.45" x14ac:dyDescent="0.3">
      <c r="A53" s="47" t="s">
        <v>370</v>
      </c>
      <c r="B53" s="39">
        <v>15</v>
      </c>
      <c r="C53" s="61">
        <v>4</v>
      </c>
      <c r="D53" s="56">
        <v>4</v>
      </c>
      <c r="E53" s="56">
        <v>2</v>
      </c>
      <c r="F53" s="56">
        <v>1</v>
      </c>
      <c r="G53" s="56">
        <v>0</v>
      </c>
      <c r="H53" s="56">
        <v>4</v>
      </c>
      <c r="I53" s="67"/>
    </row>
    <row r="54" spans="1:13" ht="14.45" x14ac:dyDescent="0.3">
      <c r="A54" s="47" t="s">
        <v>371</v>
      </c>
      <c r="B54" s="39">
        <v>16</v>
      </c>
      <c r="C54" s="61">
        <v>6</v>
      </c>
      <c r="D54" s="56">
        <v>7</v>
      </c>
      <c r="E54" s="56">
        <v>0</v>
      </c>
      <c r="F54" s="56">
        <v>1</v>
      </c>
      <c r="G54" s="56">
        <v>0</v>
      </c>
      <c r="H54" s="56">
        <v>2</v>
      </c>
      <c r="I54" s="67"/>
    </row>
    <row r="55" spans="1:13" ht="14.45" x14ac:dyDescent="0.3">
      <c r="A55" s="47" t="s">
        <v>377</v>
      </c>
      <c r="B55" s="39">
        <v>15</v>
      </c>
      <c r="C55" s="61">
        <v>7</v>
      </c>
      <c r="D55" s="126">
        <v>1</v>
      </c>
      <c r="E55" s="126">
        <v>2</v>
      </c>
      <c r="F55" s="126">
        <v>3</v>
      </c>
      <c r="G55" s="126">
        <v>0</v>
      </c>
      <c r="H55" s="126">
        <v>2</v>
      </c>
      <c r="I55" s="67"/>
    </row>
    <row r="56" spans="1:13" ht="14.45" x14ac:dyDescent="0.3">
      <c r="A56" s="47" t="s">
        <v>328</v>
      </c>
      <c r="B56" s="39">
        <v>13</v>
      </c>
      <c r="C56" s="61">
        <v>0</v>
      </c>
      <c r="D56" s="126">
        <v>2</v>
      </c>
      <c r="E56" s="126">
        <v>2</v>
      </c>
      <c r="F56" s="126">
        <v>7</v>
      </c>
      <c r="G56" s="126">
        <v>1</v>
      </c>
      <c r="H56" s="126">
        <v>1</v>
      </c>
      <c r="I56" s="67"/>
    </row>
    <row r="57" spans="1:13" ht="14.45" x14ac:dyDescent="0.3">
      <c r="A57" s="47" t="s">
        <v>346</v>
      </c>
      <c r="B57" s="39">
        <v>14</v>
      </c>
      <c r="C57" s="61">
        <v>4</v>
      </c>
      <c r="D57" s="126">
        <v>2</v>
      </c>
      <c r="E57" s="126">
        <v>2</v>
      </c>
      <c r="F57" s="126">
        <v>2</v>
      </c>
      <c r="G57" s="126">
        <v>2</v>
      </c>
      <c r="H57" s="126">
        <v>2</v>
      </c>
      <c r="I57" s="67"/>
    </row>
    <row r="58" spans="1:13" ht="14.45" x14ac:dyDescent="0.3">
      <c r="A58" s="47" t="s">
        <v>39</v>
      </c>
      <c r="B58" s="39">
        <v>22</v>
      </c>
      <c r="C58" s="61">
        <v>5</v>
      </c>
      <c r="D58" s="126">
        <v>3</v>
      </c>
      <c r="E58" s="126">
        <v>4</v>
      </c>
      <c r="F58" s="126">
        <v>6</v>
      </c>
      <c r="G58" s="126">
        <v>2</v>
      </c>
      <c r="H58" s="126">
        <v>2</v>
      </c>
      <c r="I58" s="67"/>
    </row>
    <row r="59" spans="1:13" ht="14.45" x14ac:dyDescent="0.3">
      <c r="A59" s="47" t="s">
        <v>21</v>
      </c>
      <c r="B59" s="39">
        <v>21</v>
      </c>
      <c r="C59" s="61">
        <v>14</v>
      </c>
      <c r="D59" s="56">
        <v>0</v>
      </c>
      <c r="E59" s="56">
        <v>0</v>
      </c>
      <c r="F59" s="56">
        <v>7</v>
      </c>
      <c r="G59" s="56">
        <v>0</v>
      </c>
      <c r="H59" s="56">
        <v>0</v>
      </c>
    </row>
    <row r="60" spans="1:13" ht="14.45" x14ac:dyDescent="0.3">
      <c r="A60" s="47" t="s">
        <v>20</v>
      </c>
      <c r="B60" s="39">
        <v>21</v>
      </c>
      <c r="C60" s="61">
        <v>4</v>
      </c>
      <c r="D60" s="56">
        <v>7</v>
      </c>
      <c r="E60" s="56">
        <v>2</v>
      </c>
      <c r="F60" s="56">
        <v>1</v>
      </c>
      <c r="G60" s="56">
        <v>7</v>
      </c>
      <c r="H60" s="56">
        <v>0</v>
      </c>
    </row>
    <row r="61" spans="1:13" ht="14.45" x14ac:dyDescent="0.3">
      <c r="A61" s="47" t="s">
        <v>19</v>
      </c>
      <c r="B61" s="39">
        <v>26</v>
      </c>
      <c r="C61" s="61">
        <v>10</v>
      </c>
      <c r="D61" s="126">
        <v>5</v>
      </c>
      <c r="E61" s="126">
        <v>3</v>
      </c>
      <c r="F61" s="126">
        <v>6</v>
      </c>
      <c r="G61" s="126">
        <v>0</v>
      </c>
      <c r="H61" s="126">
        <v>2</v>
      </c>
    </row>
    <row r="62" spans="1:13" ht="14.45" x14ac:dyDescent="0.3">
      <c r="A62" s="1" t="s">
        <v>441</v>
      </c>
      <c r="B62" s="39">
        <v>28</v>
      </c>
      <c r="C62" s="61">
        <v>0</v>
      </c>
      <c r="D62" s="56">
        <v>3</v>
      </c>
      <c r="E62" s="56">
        <v>3</v>
      </c>
      <c r="F62" s="56">
        <v>14</v>
      </c>
      <c r="G62" s="56">
        <v>6</v>
      </c>
      <c r="H62" s="56">
        <v>2</v>
      </c>
    </row>
    <row r="63" spans="1:13" ht="14.45" x14ac:dyDescent="0.3">
      <c r="A63" s="1" t="s">
        <v>55</v>
      </c>
      <c r="B63" s="39">
        <v>21</v>
      </c>
      <c r="C63" s="61">
        <v>0</v>
      </c>
      <c r="D63" s="126">
        <v>1</v>
      </c>
      <c r="E63" s="126">
        <v>3</v>
      </c>
      <c r="F63" s="126">
        <v>6</v>
      </c>
      <c r="G63" s="126">
        <v>6</v>
      </c>
      <c r="H63" s="126">
        <v>5</v>
      </c>
    </row>
    <row r="64" spans="1:13" ht="14.45" x14ac:dyDescent="0.3">
      <c r="A64" s="1" t="s">
        <v>369</v>
      </c>
      <c r="B64" s="39">
        <v>22</v>
      </c>
      <c r="C64" s="61">
        <v>3</v>
      </c>
      <c r="D64" s="126">
        <v>4</v>
      </c>
      <c r="E64" s="126">
        <v>4</v>
      </c>
      <c r="F64" s="126">
        <v>4</v>
      </c>
      <c r="G64" s="126">
        <v>2</v>
      </c>
      <c r="H64" s="126">
        <v>5</v>
      </c>
    </row>
    <row r="65" spans="1:9" ht="14.45" x14ac:dyDescent="0.3">
      <c r="A65" s="1" t="s">
        <v>370</v>
      </c>
      <c r="B65" s="39">
        <v>8</v>
      </c>
      <c r="C65" s="61">
        <v>2</v>
      </c>
      <c r="D65" s="126">
        <v>1</v>
      </c>
      <c r="E65" s="126">
        <v>1</v>
      </c>
      <c r="F65" s="126">
        <v>3</v>
      </c>
      <c r="G65" s="126">
        <v>0</v>
      </c>
      <c r="H65" s="126">
        <v>1</v>
      </c>
    </row>
    <row r="66" spans="1:9" ht="14.45" x14ac:dyDescent="0.3">
      <c r="A66" s="1" t="s">
        <v>371</v>
      </c>
      <c r="B66" s="39">
        <v>8</v>
      </c>
      <c r="C66" s="61">
        <v>0</v>
      </c>
      <c r="D66" s="126">
        <v>2</v>
      </c>
      <c r="E66" s="126">
        <v>0</v>
      </c>
      <c r="F66" s="126">
        <v>2</v>
      </c>
      <c r="G66" s="126">
        <v>3</v>
      </c>
      <c r="H66" s="126">
        <v>1</v>
      </c>
    </row>
    <row r="67" spans="1:9" ht="14.45" x14ac:dyDescent="0.3">
      <c r="A67" s="1" t="s">
        <v>492</v>
      </c>
      <c r="B67" s="39">
        <v>18</v>
      </c>
      <c r="C67" s="61">
        <v>1</v>
      </c>
      <c r="D67" s="126">
        <v>6</v>
      </c>
      <c r="E67" s="126">
        <v>6</v>
      </c>
      <c r="F67" s="126">
        <v>1</v>
      </c>
      <c r="G67" s="126">
        <v>1</v>
      </c>
      <c r="H67" s="126">
        <v>3</v>
      </c>
      <c r="I67" s="67"/>
    </row>
    <row r="68" spans="1:9" ht="14.45" x14ac:dyDescent="0.3">
      <c r="B68" s="39"/>
      <c r="C68" s="61"/>
      <c r="D68" s="56"/>
      <c r="E68" s="56"/>
      <c r="F68" s="56"/>
      <c r="G68" s="56"/>
      <c r="H68" s="56"/>
    </row>
    <row r="69" spans="1:9" ht="14.45" x14ac:dyDescent="0.3">
      <c r="B69" s="39"/>
      <c r="C69" s="61"/>
      <c r="D69" s="56"/>
      <c r="E69" s="56"/>
      <c r="F69" s="56"/>
      <c r="G69" s="56"/>
      <c r="H69" s="56"/>
    </row>
    <row r="70" spans="1:9" ht="14.45" x14ac:dyDescent="0.3">
      <c r="B70" s="39"/>
      <c r="C70" s="61"/>
      <c r="D70" s="56"/>
      <c r="E70" s="56"/>
      <c r="F70" s="56"/>
      <c r="G70" s="56"/>
      <c r="H70" s="56"/>
    </row>
    <row r="71" spans="1:9" ht="14.45" x14ac:dyDescent="0.3">
      <c r="B71" s="39"/>
      <c r="C71" s="61"/>
      <c r="D71" s="56"/>
      <c r="E71" s="56"/>
      <c r="F71" s="56"/>
      <c r="G71" s="56"/>
      <c r="H71" s="56"/>
    </row>
    <row r="72" spans="1:9" ht="14.45" x14ac:dyDescent="0.3">
      <c r="B72" s="39"/>
      <c r="C72" s="61"/>
      <c r="D72" s="56"/>
      <c r="E72" s="56"/>
      <c r="F72" s="56"/>
      <c r="G72" s="56"/>
      <c r="H72" s="56"/>
    </row>
    <row r="73" spans="1:9" ht="14.45" x14ac:dyDescent="0.3">
      <c r="B73" s="39"/>
      <c r="C73" s="61"/>
      <c r="D73" s="56"/>
      <c r="E73" s="56"/>
      <c r="F73" s="56"/>
      <c r="G73" s="56"/>
      <c r="H73" s="56"/>
    </row>
    <row r="74" spans="1:9" ht="14.45" x14ac:dyDescent="0.3">
      <c r="B74" s="39"/>
      <c r="C74" s="61"/>
      <c r="D74" s="56"/>
      <c r="E74" s="56"/>
      <c r="F74" s="56"/>
      <c r="G74" s="56"/>
      <c r="H74" s="56"/>
    </row>
    <row r="75" spans="1:9" ht="14.45" x14ac:dyDescent="0.3">
      <c r="B75" s="39"/>
      <c r="C75" s="61"/>
      <c r="D75" s="56"/>
      <c r="E75" s="56"/>
      <c r="F75" s="56"/>
      <c r="G75" s="56"/>
      <c r="H75" s="56"/>
    </row>
    <row r="76" spans="1:9" ht="14.45" x14ac:dyDescent="0.3">
      <c r="B76" s="39"/>
      <c r="C76" s="61"/>
      <c r="D76" s="56"/>
      <c r="E76" s="56"/>
      <c r="F76" s="56"/>
      <c r="G76" s="56"/>
      <c r="H76" s="56"/>
    </row>
    <row r="77" spans="1:9" ht="14.45" x14ac:dyDescent="0.3">
      <c r="B77" s="39"/>
      <c r="C77" s="61"/>
      <c r="D77" s="56"/>
      <c r="E77" s="56"/>
      <c r="F77" s="56"/>
      <c r="G77" s="56"/>
      <c r="H77" s="56"/>
    </row>
    <row r="78" spans="1:9" ht="14.45" x14ac:dyDescent="0.3">
      <c r="B78" s="39"/>
      <c r="C78" s="61"/>
      <c r="D78" s="56"/>
      <c r="E78" s="56"/>
      <c r="F78" s="56"/>
      <c r="G78" s="56"/>
      <c r="H78" s="56"/>
    </row>
    <row r="79" spans="1:9" ht="14.45" x14ac:dyDescent="0.3">
      <c r="B79" s="39"/>
      <c r="C79" s="61"/>
      <c r="D79" s="56"/>
      <c r="E79" s="56"/>
      <c r="F79" s="56"/>
      <c r="G79" s="56"/>
      <c r="H79" s="56"/>
    </row>
    <row r="80" spans="1:9" ht="14.45" x14ac:dyDescent="0.3">
      <c r="B80" s="39"/>
      <c r="C80" s="61"/>
      <c r="D80" s="56"/>
      <c r="E80" s="56"/>
      <c r="F80" s="56"/>
      <c r="G80" s="56"/>
      <c r="H80" s="56"/>
    </row>
    <row r="81" spans="2:8" ht="14.45" x14ac:dyDescent="0.3">
      <c r="B81" s="39"/>
      <c r="C81" s="61"/>
      <c r="D81" s="56"/>
      <c r="E81" s="56"/>
      <c r="F81" s="56"/>
      <c r="G81" s="56"/>
      <c r="H81" s="56"/>
    </row>
    <row r="82" spans="2:8" ht="14.45" x14ac:dyDescent="0.3">
      <c r="B82" s="39"/>
      <c r="C82" s="61"/>
      <c r="D82" s="56"/>
      <c r="E82" s="56"/>
      <c r="F82" s="56"/>
      <c r="G82" s="56"/>
      <c r="H82" s="56"/>
    </row>
    <row r="83" spans="2:8" ht="14.45" x14ac:dyDescent="0.3">
      <c r="B83" s="39"/>
      <c r="C83" s="61"/>
      <c r="D83" s="126"/>
      <c r="E83" s="126"/>
      <c r="F83" s="126"/>
      <c r="G83" s="126"/>
      <c r="H83" s="126"/>
    </row>
    <row r="84" spans="2:8" ht="14.45" x14ac:dyDescent="0.3">
      <c r="B84" s="39"/>
      <c r="C84" s="61"/>
      <c r="D84" s="56"/>
      <c r="E84" s="56"/>
      <c r="F84" s="56"/>
      <c r="G84" s="56"/>
      <c r="H84" s="56"/>
    </row>
    <row r="85" spans="2:8" ht="14.45" x14ac:dyDescent="0.3">
      <c r="B85" s="39"/>
      <c r="C85" s="61"/>
      <c r="D85" s="126"/>
      <c r="E85" s="126"/>
      <c r="F85" s="126"/>
      <c r="G85" s="126"/>
      <c r="H85" s="126"/>
    </row>
    <row r="86" spans="2:8" ht="14.45" x14ac:dyDescent="0.3">
      <c r="B86" s="39"/>
      <c r="C86" s="61"/>
      <c r="D86" s="126"/>
      <c r="E86" s="126"/>
      <c r="F86" s="126"/>
      <c r="G86" s="126"/>
      <c r="H86" s="126"/>
    </row>
    <row r="87" spans="2:8" ht="14.45" x14ac:dyDescent="0.3">
      <c r="B87" s="39"/>
      <c r="C87" s="61"/>
      <c r="D87" s="126"/>
      <c r="E87" s="126"/>
      <c r="F87" s="126"/>
      <c r="G87" s="126"/>
      <c r="H87" s="126"/>
    </row>
    <row r="88" spans="2:8" ht="14.45" x14ac:dyDescent="0.3">
      <c r="B88" s="39"/>
      <c r="C88" s="61"/>
      <c r="D88" s="126"/>
      <c r="E88" s="126"/>
      <c r="F88" s="126"/>
      <c r="G88" s="126"/>
      <c r="H88" s="126"/>
    </row>
    <row r="89" spans="2:8" ht="14.45" x14ac:dyDescent="0.3">
      <c r="B89" s="39"/>
      <c r="C89" s="61"/>
      <c r="D89" s="126"/>
      <c r="E89" s="126"/>
      <c r="F89" s="126"/>
      <c r="G89" s="126"/>
      <c r="H89" s="126"/>
    </row>
    <row r="90" spans="2:8" ht="14.45" x14ac:dyDescent="0.3">
      <c r="B90" s="39"/>
      <c r="C90" s="61"/>
      <c r="D90" s="126"/>
      <c r="E90" s="126"/>
      <c r="F90" s="126"/>
      <c r="G90" s="126"/>
      <c r="H90" s="126"/>
    </row>
    <row r="91" spans="2:8" ht="14.45" x14ac:dyDescent="0.3">
      <c r="B91" s="39"/>
      <c r="C91" s="61"/>
      <c r="D91" s="126"/>
      <c r="E91" s="126"/>
      <c r="F91" s="126"/>
      <c r="G91" s="126"/>
      <c r="H91" s="126"/>
    </row>
    <row r="92" spans="2:8" ht="14.45" x14ac:dyDescent="0.3">
      <c r="B92" s="39"/>
      <c r="C92" s="61"/>
      <c r="D92" s="126"/>
      <c r="E92" s="126"/>
      <c r="F92" s="126"/>
      <c r="G92" s="126"/>
      <c r="H92" s="126"/>
    </row>
    <row r="93" spans="2:8" ht="14.45" x14ac:dyDescent="0.3">
      <c r="B93" s="39"/>
      <c r="C93" s="61"/>
      <c r="D93" s="126"/>
      <c r="E93" s="126"/>
      <c r="F93" s="126"/>
      <c r="G93" s="126"/>
      <c r="H93" s="126"/>
    </row>
    <row r="94" spans="2:8" ht="14.45" x14ac:dyDescent="0.3">
      <c r="B94" s="39"/>
      <c r="C94" s="61"/>
      <c r="D94" s="126"/>
      <c r="E94" s="126"/>
      <c r="F94" s="126"/>
      <c r="G94" s="126"/>
      <c r="H94" s="126"/>
    </row>
    <row r="95" spans="2:8" ht="14.45" x14ac:dyDescent="0.3">
      <c r="B95" s="39"/>
      <c r="C95" s="61"/>
      <c r="D95" s="126"/>
      <c r="E95" s="126"/>
      <c r="F95" s="126"/>
      <c r="G95" s="126"/>
      <c r="H95" s="126"/>
    </row>
    <row r="96" spans="2:8" ht="14.45" x14ac:dyDescent="0.3">
      <c r="B96" s="39"/>
      <c r="C96" s="61"/>
      <c r="D96" s="126"/>
      <c r="E96" s="126"/>
      <c r="F96" s="126"/>
      <c r="G96" s="126"/>
      <c r="H96" s="126"/>
    </row>
    <row r="97" spans="1:15" ht="14.45" x14ac:dyDescent="0.3">
      <c r="B97" s="39"/>
      <c r="C97" s="61"/>
      <c r="D97" s="126"/>
      <c r="E97" s="126"/>
      <c r="F97" s="126"/>
      <c r="G97" s="126"/>
      <c r="H97" s="126"/>
    </row>
    <row r="98" spans="1:15" ht="14.45" x14ac:dyDescent="0.3">
      <c r="B98" s="39"/>
      <c r="C98" s="61"/>
      <c r="D98" s="126"/>
      <c r="E98" s="126"/>
      <c r="F98" s="126"/>
      <c r="G98" s="126"/>
      <c r="H98" s="126"/>
    </row>
    <row r="99" spans="1:15" ht="14.45" x14ac:dyDescent="0.3">
      <c r="B99" s="39"/>
      <c r="C99" s="61"/>
      <c r="D99" s="126"/>
      <c r="E99" s="126"/>
      <c r="F99" s="126"/>
      <c r="G99" s="126"/>
      <c r="H99" s="126"/>
    </row>
    <row r="100" spans="1:15" ht="14.45" x14ac:dyDescent="0.3">
      <c r="B100" s="39"/>
      <c r="C100" s="61"/>
      <c r="D100" s="126"/>
      <c r="E100" s="126"/>
      <c r="F100" s="126"/>
      <c r="G100" s="126"/>
      <c r="H100" s="126"/>
    </row>
    <row r="101" spans="1:15" ht="14.45" x14ac:dyDescent="0.3">
      <c r="B101" s="39"/>
      <c r="C101" s="61"/>
      <c r="D101" s="126"/>
      <c r="E101" s="126"/>
      <c r="F101" s="126"/>
      <c r="G101" s="126"/>
      <c r="H101" s="126"/>
    </row>
    <row r="102" spans="1:15" ht="14.45" x14ac:dyDescent="0.3">
      <c r="B102" s="39"/>
      <c r="C102" s="61"/>
      <c r="D102" s="126"/>
      <c r="E102" s="126"/>
      <c r="F102" s="126"/>
      <c r="G102" s="126"/>
      <c r="H102" s="126"/>
    </row>
    <row r="103" spans="1:15" ht="14.45" x14ac:dyDescent="0.3">
      <c r="B103" s="39"/>
      <c r="C103" s="61"/>
      <c r="D103" s="126"/>
      <c r="E103" s="126"/>
      <c r="F103" s="126"/>
      <c r="G103" s="126"/>
      <c r="H103" s="126"/>
    </row>
    <row r="104" spans="1:15" ht="14.45" x14ac:dyDescent="0.3">
      <c r="B104" s="39"/>
      <c r="C104" s="61"/>
      <c r="D104" s="56"/>
      <c r="E104" s="56"/>
      <c r="F104" s="56"/>
      <c r="G104" s="285" t="s">
        <v>302</v>
      </c>
      <c r="H104" s="286"/>
      <c r="I104" s="286"/>
      <c r="J104" s="286"/>
      <c r="K104" s="286"/>
      <c r="L104" s="286"/>
      <c r="M104" s="287"/>
      <c r="N104" s="59"/>
      <c r="O104" s="59"/>
    </row>
    <row r="105" spans="1:15" ht="57.6" x14ac:dyDescent="0.3">
      <c r="A105" s="6" t="s">
        <v>4</v>
      </c>
      <c r="B105" s="23" t="s">
        <v>5</v>
      </c>
      <c r="C105" s="23" t="s">
        <v>6</v>
      </c>
      <c r="D105" s="49" t="s">
        <v>7</v>
      </c>
      <c r="E105" s="49" t="s">
        <v>54</v>
      </c>
      <c r="F105" s="23" t="s">
        <v>230</v>
      </c>
      <c r="G105" s="173" t="s">
        <v>263</v>
      </c>
      <c r="H105" s="174" t="s">
        <v>219</v>
      </c>
      <c r="I105" s="174" t="s">
        <v>220</v>
      </c>
      <c r="J105" s="174" t="s">
        <v>221</v>
      </c>
      <c r="K105" s="174" t="s">
        <v>222</v>
      </c>
      <c r="L105" s="174" t="s">
        <v>223</v>
      </c>
      <c r="M105" s="175"/>
      <c r="N105" s="59"/>
      <c r="O105" s="59"/>
    </row>
    <row r="106" spans="1:15" ht="14.45" x14ac:dyDescent="0.3">
      <c r="A106" s="1">
        <v>40848</v>
      </c>
      <c r="B106" s="24">
        <v>0.12</v>
      </c>
      <c r="C106" s="20">
        <v>0.9</v>
      </c>
      <c r="D106" s="102">
        <v>27.4</v>
      </c>
      <c r="E106" s="29">
        <v>14</v>
      </c>
      <c r="F106" s="29"/>
      <c r="G106" s="176"/>
      <c r="H106" s="59"/>
      <c r="I106" s="59"/>
      <c r="J106" s="59"/>
      <c r="K106" s="59"/>
      <c r="L106" s="59"/>
      <c r="M106" s="168"/>
      <c r="N106" s="59"/>
      <c r="O106" s="59"/>
    </row>
    <row r="107" spans="1:15" ht="14.45" x14ac:dyDescent="0.3">
      <c r="A107" s="1">
        <v>40878</v>
      </c>
      <c r="B107" s="24">
        <v>0.3</v>
      </c>
      <c r="C107" s="20">
        <v>0.9</v>
      </c>
      <c r="D107" s="102">
        <v>37.200000000000003</v>
      </c>
      <c r="E107" s="29">
        <v>5</v>
      </c>
      <c r="F107" s="29"/>
      <c r="G107" s="176"/>
      <c r="H107" s="59"/>
      <c r="I107" s="59"/>
      <c r="J107" s="59"/>
      <c r="K107" s="59"/>
      <c r="L107" s="59"/>
      <c r="M107" s="168"/>
      <c r="N107" s="59"/>
      <c r="O107" s="59"/>
    </row>
    <row r="108" spans="1:15" ht="14.45" x14ac:dyDescent="0.3">
      <c r="A108" s="1">
        <v>40909</v>
      </c>
      <c r="B108" s="24">
        <v>0.14000000000000001</v>
      </c>
      <c r="C108" s="20">
        <v>0.9</v>
      </c>
      <c r="D108" s="9">
        <v>31.4</v>
      </c>
      <c r="E108" s="29">
        <v>14</v>
      </c>
      <c r="F108" s="29"/>
      <c r="G108" s="176"/>
      <c r="H108" s="59"/>
      <c r="I108" s="124"/>
      <c r="J108" s="124"/>
      <c r="K108" s="124"/>
      <c r="L108" s="124"/>
      <c r="M108" s="169"/>
      <c r="N108" s="59"/>
      <c r="O108" s="59"/>
    </row>
    <row r="109" spans="1:15" ht="14.45" x14ac:dyDescent="0.3">
      <c r="A109" s="1">
        <v>40940</v>
      </c>
      <c r="B109" s="24">
        <v>0.64</v>
      </c>
      <c r="C109" s="20">
        <v>0.9</v>
      </c>
      <c r="D109" s="9">
        <v>20.2</v>
      </c>
      <c r="E109" s="29">
        <v>10</v>
      </c>
      <c r="F109" s="29"/>
      <c r="G109" s="176"/>
      <c r="H109" s="59"/>
      <c r="I109" s="124"/>
      <c r="J109" s="124"/>
      <c r="K109" s="124"/>
      <c r="L109" s="124"/>
      <c r="M109" s="169"/>
      <c r="N109" s="59"/>
      <c r="O109" s="59"/>
    </row>
    <row r="110" spans="1:15" ht="14.45" x14ac:dyDescent="0.3">
      <c r="A110" s="1">
        <v>40969</v>
      </c>
      <c r="B110" s="24">
        <v>0.63</v>
      </c>
      <c r="C110" s="20">
        <v>0.9</v>
      </c>
      <c r="D110" s="9">
        <v>12.6</v>
      </c>
      <c r="E110" s="29">
        <v>16</v>
      </c>
      <c r="F110" s="29"/>
      <c r="G110" s="176"/>
      <c r="H110" s="59"/>
      <c r="I110" s="59"/>
      <c r="J110" s="59"/>
      <c r="K110" s="59"/>
      <c r="L110" s="59"/>
      <c r="M110" s="168"/>
      <c r="N110" s="59"/>
      <c r="O110" s="59"/>
    </row>
    <row r="111" spans="1:15" ht="14.45" x14ac:dyDescent="0.3">
      <c r="A111" s="1">
        <v>41000</v>
      </c>
      <c r="B111" s="24">
        <v>1</v>
      </c>
      <c r="C111" s="20">
        <v>0.9</v>
      </c>
      <c r="D111" s="9">
        <v>5.67</v>
      </c>
      <c r="E111" s="29">
        <v>3</v>
      </c>
      <c r="F111" s="29"/>
      <c r="G111" s="176"/>
      <c r="H111" s="59"/>
      <c r="I111" s="59"/>
      <c r="J111" s="59"/>
      <c r="K111" s="59"/>
      <c r="L111" s="59"/>
      <c r="M111" s="168"/>
      <c r="N111" s="59"/>
      <c r="O111" s="59"/>
    </row>
    <row r="112" spans="1:15" ht="14.45" x14ac:dyDescent="0.3">
      <c r="A112" s="1">
        <v>41030</v>
      </c>
      <c r="B112" s="24"/>
      <c r="C112" s="20">
        <v>0.9</v>
      </c>
      <c r="D112" s="9">
        <v>0</v>
      </c>
      <c r="E112" s="29">
        <v>0</v>
      </c>
      <c r="F112" s="29"/>
      <c r="G112" s="176"/>
      <c r="H112" s="59"/>
      <c r="I112" s="59"/>
      <c r="J112" s="59"/>
      <c r="K112" s="59"/>
      <c r="L112" s="59"/>
      <c r="M112" s="168"/>
      <c r="N112" s="59"/>
      <c r="O112" s="59"/>
    </row>
    <row r="113" spans="1:15" ht="14.45" x14ac:dyDescent="0.3">
      <c r="A113" s="1">
        <v>41061</v>
      </c>
      <c r="B113" s="24"/>
      <c r="C113" s="20">
        <v>0.9</v>
      </c>
      <c r="D113" s="149" t="s">
        <v>224</v>
      </c>
      <c r="E113" s="150"/>
      <c r="F113" s="150"/>
      <c r="G113" s="179"/>
      <c r="H113" s="180"/>
      <c r="I113" s="180"/>
      <c r="J113" s="180"/>
      <c r="K113" s="180"/>
      <c r="L113" s="180"/>
      <c r="M113" s="200"/>
      <c r="N113" s="59"/>
      <c r="O113" s="59"/>
    </row>
    <row r="114" spans="1:15" ht="14.45" x14ac:dyDescent="0.3">
      <c r="A114" s="1">
        <v>41091</v>
      </c>
      <c r="B114" s="93">
        <v>0.16700000000000001</v>
      </c>
      <c r="C114" s="20">
        <v>0.9</v>
      </c>
      <c r="D114" s="9">
        <v>17</v>
      </c>
      <c r="E114" s="29">
        <v>6</v>
      </c>
      <c r="F114" s="29">
        <v>1</v>
      </c>
      <c r="G114" s="167">
        <v>1</v>
      </c>
      <c r="H114" s="124">
        <v>4</v>
      </c>
      <c r="I114" s="124">
        <v>0</v>
      </c>
      <c r="J114" s="124">
        <v>1</v>
      </c>
      <c r="K114" s="124">
        <v>0</v>
      </c>
      <c r="L114" s="124">
        <v>0</v>
      </c>
      <c r="M114" s="168"/>
      <c r="N114" s="59"/>
      <c r="O114" s="59"/>
    </row>
    <row r="115" spans="1:15" ht="14.45" x14ac:dyDescent="0.3">
      <c r="A115" s="1">
        <v>41122</v>
      </c>
      <c r="B115" s="24">
        <v>0.125</v>
      </c>
      <c r="C115" s="20">
        <v>0.9</v>
      </c>
      <c r="D115" s="9">
        <v>15</v>
      </c>
      <c r="E115" s="29">
        <v>8</v>
      </c>
      <c r="F115" s="29">
        <v>1</v>
      </c>
      <c r="G115" s="167">
        <v>1</v>
      </c>
      <c r="H115" s="124">
        <v>6</v>
      </c>
      <c r="I115" s="124">
        <v>1</v>
      </c>
      <c r="J115" s="124">
        <v>0</v>
      </c>
      <c r="K115" s="124">
        <v>0</v>
      </c>
      <c r="L115" s="124">
        <v>0</v>
      </c>
      <c r="M115" s="168"/>
      <c r="N115" s="59"/>
      <c r="O115" s="59"/>
    </row>
    <row r="116" spans="1:15" s="113" customFormat="1" ht="14.45" x14ac:dyDescent="0.3">
      <c r="A116" s="108">
        <v>41153</v>
      </c>
      <c r="B116" s="109"/>
      <c r="C116" s="110">
        <v>0.9</v>
      </c>
      <c r="D116" s="111">
        <v>50</v>
      </c>
      <c r="E116" s="112">
        <v>2</v>
      </c>
      <c r="F116" s="112">
        <v>0</v>
      </c>
      <c r="G116" s="170">
        <v>0</v>
      </c>
      <c r="H116" s="125">
        <v>0</v>
      </c>
      <c r="I116" s="125">
        <v>1</v>
      </c>
      <c r="J116" s="125">
        <v>0</v>
      </c>
      <c r="K116" s="125">
        <v>1</v>
      </c>
      <c r="L116" s="125">
        <v>0</v>
      </c>
      <c r="M116" s="177"/>
      <c r="N116" s="181"/>
      <c r="O116" s="181"/>
    </row>
    <row r="117" spans="1:15" ht="14.45" x14ac:dyDescent="0.3">
      <c r="A117" s="1">
        <v>41183</v>
      </c>
      <c r="B117" s="24">
        <v>0.75</v>
      </c>
      <c r="C117" s="20">
        <v>0.9</v>
      </c>
      <c r="D117" s="9">
        <v>16</v>
      </c>
      <c r="E117" s="112">
        <v>4</v>
      </c>
      <c r="F117" s="112">
        <v>3</v>
      </c>
      <c r="G117" s="167">
        <v>3</v>
      </c>
      <c r="H117" s="124">
        <v>0</v>
      </c>
      <c r="I117" s="124">
        <v>0</v>
      </c>
      <c r="J117" s="124">
        <v>1</v>
      </c>
      <c r="K117" s="124">
        <v>0</v>
      </c>
      <c r="L117" s="124">
        <v>0</v>
      </c>
      <c r="M117" s="168"/>
      <c r="N117" s="59"/>
      <c r="O117" s="59"/>
    </row>
    <row r="118" spans="1:15" ht="14.45" x14ac:dyDescent="0.3">
      <c r="A118" s="1">
        <v>41214</v>
      </c>
      <c r="B118" s="24">
        <v>0.5</v>
      </c>
      <c r="C118" s="20">
        <v>0.9</v>
      </c>
      <c r="D118" s="9">
        <v>29</v>
      </c>
      <c r="E118" s="112">
        <v>4</v>
      </c>
      <c r="F118" s="112">
        <v>2</v>
      </c>
      <c r="G118" s="167">
        <v>2</v>
      </c>
      <c r="H118" s="124">
        <v>1</v>
      </c>
      <c r="I118" s="124">
        <v>0</v>
      </c>
      <c r="J118" s="124">
        <v>0</v>
      </c>
      <c r="K118" s="124">
        <v>1</v>
      </c>
      <c r="L118" s="124">
        <v>0</v>
      </c>
      <c r="M118" s="168"/>
      <c r="N118" s="59"/>
      <c r="O118" s="59"/>
    </row>
    <row r="119" spans="1:15" ht="14.45" x14ac:dyDescent="0.3">
      <c r="A119" s="1">
        <v>41244</v>
      </c>
      <c r="B119" s="24">
        <v>1</v>
      </c>
      <c r="C119" s="20">
        <v>0.9</v>
      </c>
      <c r="D119" s="9">
        <v>9</v>
      </c>
      <c r="E119" s="112">
        <v>1</v>
      </c>
      <c r="F119" s="112">
        <v>1</v>
      </c>
      <c r="G119" s="167">
        <v>1</v>
      </c>
      <c r="H119" s="124">
        <v>0</v>
      </c>
      <c r="I119" s="124">
        <v>0</v>
      </c>
      <c r="J119" s="124">
        <v>0</v>
      </c>
      <c r="K119" s="124">
        <v>0</v>
      </c>
      <c r="L119" s="124">
        <v>0</v>
      </c>
      <c r="M119" s="168"/>
      <c r="N119" s="59"/>
      <c r="O119" s="59"/>
    </row>
    <row r="120" spans="1:15" ht="14.45" x14ac:dyDescent="0.3">
      <c r="A120" s="1">
        <v>41275</v>
      </c>
      <c r="B120" s="24">
        <v>0.5</v>
      </c>
      <c r="C120" s="20">
        <v>0.9</v>
      </c>
      <c r="D120" s="9">
        <v>68</v>
      </c>
      <c r="E120" s="112">
        <v>4</v>
      </c>
      <c r="F120" s="112">
        <v>2</v>
      </c>
      <c r="G120" s="167">
        <v>2</v>
      </c>
      <c r="H120" s="124">
        <v>0</v>
      </c>
      <c r="I120" s="124">
        <v>0</v>
      </c>
      <c r="J120" s="124">
        <v>0</v>
      </c>
      <c r="K120" s="124">
        <v>0</v>
      </c>
      <c r="L120" s="124">
        <v>2</v>
      </c>
      <c r="M120" s="168"/>
      <c r="N120" s="59"/>
      <c r="O120" s="59"/>
    </row>
    <row r="121" spans="1:15" ht="14.45" x14ac:dyDescent="0.3">
      <c r="A121" s="1">
        <v>41306</v>
      </c>
      <c r="B121" s="24">
        <v>0.5</v>
      </c>
      <c r="C121" s="20">
        <v>0.9</v>
      </c>
      <c r="D121" s="9">
        <v>11</v>
      </c>
      <c r="E121" s="112">
        <v>4</v>
      </c>
      <c r="F121" s="112">
        <v>2</v>
      </c>
      <c r="G121" s="167">
        <v>2</v>
      </c>
      <c r="H121" s="124">
        <v>2</v>
      </c>
      <c r="I121" s="124">
        <v>0</v>
      </c>
      <c r="J121" s="124">
        <v>0</v>
      </c>
      <c r="K121" s="124">
        <v>0</v>
      </c>
      <c r="L121" s="124">
        <v>0</v>
      </c>
      <c r="M121" s="168"/>
      <c r="N121" s="59"/>
      <c r="O121" s="59"/>
    </row>
    <row r="122" spans="1:15" ht="14.45" x14ac:dyDescent="0.3">
      <c r="A122" s="1">
        <v>41334</v>
      </c>
      <c r="B122" s="24">
        <v>0.75</v>
      </c>
      <c r="C122" s="20">
        <v>0.9</v>
      </c>
      <c r="D122" s="9">
        <v>24</v>
      </c>
      <c r="E122" s="112">
        <v>4</v>
      </c>
      <c r="F122" s="112">
        <v>3</v>
      </c>
      <c r="G122" s="167">
        <v>3</v>
      </c>
      <c r="H122" s="124">
        <v>0</v>
      </c>
      <c r="I122" s="124">
        <v>0</v>
      </c>
      <c r="J122" s="124">
        <v>0</v>
      </c>
      <c r="K122" s="124">
        <v>1</v>
      </c>
      <c r="L122" s="124">
        <v>0</v>
      </c>
      <c r="M122" s="168"/>
      <c r="N122" s="59"/>
      <c r="O122" s="59"/>
    </row>
    <row r="123" spans="1:15" ht="14.45" x14ac:dyDescent="0.3">
      <c r="A123" s="1">
        <v>41365</v>
      </c>
      <c r="B123" s="24">
        <v>0.5</v>
      </c>
      <c r="C123" s="20">
        <v>0.9</v>
      </c>
      <c r="D123" s="9">
        <v>23</v>
      </c>
      <c r="E123" s="112">
        <v>4</v>
      </c>
      <c r="F123" s="112">
        <v>2</v>
      </c>
      <c r="G123" s="167">
        <v>2</v>
      </c>
      <c r="H123" s="124">
        <v>0</v>
      </c>
      <c r="I123" s="124">
        <v>1</v>
      </c>
      <c r="J123" s="124">
        <v>1</v>
      </c>
      <c r="K123" s="124">
        <v>0</v>
      </c>
      <c r="L123" s="124">
        <v>0</v>
      </c>
      <c r="M123" s="168"/>
      <c r="N123" s="59"/>
      <c r="O123" s="59"/>
    </row>
    <row r="124" spans="1:15" ht="14.45" x14ac:dyDescent="0.3">
      <c r="A124" s="1">
        <v>41395</v>
      </c>
      <c r="B124" s="24">
        <v>0.375</v>
      </c>
      <c r="C124" s="20">
        <v>0.9</v>
      </c>
      <c r="D124" s="9">
        <v>21</v>
      </c>
      <c r="E124" s="112">
        <v>8</v>
      </c>
      <c r="F124" s="112">
        <v>3</v>
      </c>
      <c r="G124" s="167">
        <v>3</v>
      </c>
      <c r="H124" s="124">
        <v>3</v>
      </c>
      <c r="I124" s="124">
        <v>0</v>
      </c>
      <c r="J124" s="124">
        <v>2</v>
      </c>
      <c r="K124" s="124">
        <v>0</v>
      </c>
      <c r="L124" s="124">
        <v>0</v>
      </c>
      <c r="M124" s="168"/>
      <c r="N124" s="59"/>
      <c r="O124" s="59"/>
    </row>
    <row r="125" spans="1:15" ht="14.45" x14ac:dyDescent="0.3">
      <c r="A125" s="1">
        <v>41426</v>
      </c>
      <c r="B125" s="24">
        <v>0.2</v>
      </c>
      <c r="C125" s="20">
        <v>0.9</v>
      </c>
      <c r="D125" s="9">
        <v>16</v>
      </c>
      <c r="E125" s="112">
        <v>5</v>
      </c>
      <c r="F125" s="112">
        <v>1</v>
      </c>
      <c r="G125" s="167">
        <v>1</v>
      </c>
      <c r="H125" s="124">
        <v>3</v>
      </c>
      <c r="I125" s="124">
        <v>1</v>
      </c>
      <c r="J125" s="124">
        <v>0</v>
      </c>
      <c r="K125" s="124">
        <v>0</v>
      </c>
      <c r="L125" s="124">
        <v>0</v>
      </c>
      <c r="M125" s="168"/>
    </row>
    <row r="126" spans="1:15" ht="14.45" x14ac:dyDescent="0.3">
      <c r="A126" s="1">
        <v>41456</v>
      </c>
      <c r="B126" s="24">
        <v>0.4</v>
      </c>
      <c r="C126" s="20">
        <v>0.9</v>
      </c>
      <c r="D126" s="9">
        <v>17</v>
      </c>
      <c r="E126" s="112">
        <v>5</v>
      </c>
      <c r="F126" s="112">
        <v>2</v>
      </c>
      <c r="G126" s="167">
        <v>2</v>
      </c>
      <c r="H126" s="124">
        <v>1</v>
      </c>
      <c r="I126" s="124">
        <v>1</v>
      </c>
      <c r="J126" s="124">
        <v>1</v>
      </c>
      <c r="K126" s="124">
        <v>0</v>
      </c>
      <c r="L126" s="124">
        <v>0</v>
      </c>
      <c r="M126" s="168"/>
    </row>
    <row r="127" spans="1:15" ht="14.45" x14ac:dyDescent="0.3">
      <c r="A127" s="1">
        <v>41487</v>
      </c>
      <c r="B127" s="24"/>
      <c r="C127" s="20">
        <v>0.9</v>
      </c>
      <c r="D127" s="9">
        <v>22</v>
      </c>
      <c r="E127" s="112">
        <v>2</v>
      </c>
      <c r="F127" s="112">
        <v>0</v>
      </c>
      <c r="G127" s="167">
        <v>0</v>
      </c>
      <c r="H127" s="124">
        <v>1</v>
      </c>
      <c r="I127" s="124">
        <v>1</v>
      </c>
      <c r="J127" s="124">
        <v>0</v>
      </c>
      <c r="K127" s="124">
        <v>0</v>
      </c>
      <c r="L127" s="124">
        <v>0</v>
      </c>
      <c r="M127" s="168"/>
    </row>
    <row r="128" spans="1:15" ht="14.45" x14ac:dyDescent="0.3">
      <c r="A128" s="1">
        <v>41518</v>
      </c>
      <c r="B128" s="24">
        <v>0.2</v>
      </c>
      <c r="C128" s="20">
        <v>0.9</v>
      </c>
      <c r="D128" s="9">
        <v>18</v>
      </c>
      <c r="E128" s="112">
        <v>5</v>
      </c>
      <c r="F128" s="112">
        <v>1</v>
      </c>
      <c r="G128" s="167">
        <v>1</v>
      </c>
      <c r="H128" s="124">
        <v>3</v>
      </c>
      <c r="I128" s="124">
        <v>0</v>
      </c>
      <c r="J128" s="124">
        <v>1</v>
      </c>
      <c r="K128" s="124">
        <v>0</v>
      </c>
      <c r="L128" s="124">
        <v>0</v>
      </c>
      <c r="M128" s="168"/>
    </row>
    <row r="129" spans="1:13" ht="14.45" x14ac:dyDescent="0.3">
      <c r="A129" s="1">
        <v>41548</v>
      </c>
      <c r="B129" s="24">
        <v>0.56999999999999995</v>
      </c>
      <c r="C129" s="20">
        <v>0.9</v>
      </c>
      <c r="D129" s="9">
        <v>15</v>
      </c>
      <c r="E129" s="112">
        <v>7</v>
      </c>
      <c r="F129" s="112">
        <v>4</v>
      </c>
      <c r="G129" s="167">
        <v>4</v>
      </c>
      <c r="H129" s="124">
        <v>1</v>
      </c>
      <c r="I129" s="124">
        <v>1</v>
      </c>
      <c r="J129" s="124">
        <v>1</v>
      </c>
      <c r="K129" s="124">
        <v>0</v>
      </c>
      <c r="L129" s="124">
        <v>0</v>
      </c>
      <c r="M129" s="168"/>
    </row>
    <row r="130" spans="1:13" ht="14.45" x14ac:dyDescent="0.3">
      <c r="A130" s="1">
        <v>41579</v>
      </c>
      <c r="B130" s="24"/>
      <c r="C130" s="20">
        <v>0.9</v>
      </c>
      <c r="D130" s="9">
        <v>0</v>
      </c>
      <c r="E130" s="112">
        <v>0</v>
      </c>
      <c r="F130" s="112">
        <v>0</v>
      </c>
      <c r="G130" s="171">
        <v>0</v>
      </c>
      <c r="H130" s="172">
        <v>0</v>
      </c>
      <c r="I130" s="172">
        <v>0</v>
      </c>
      <c r="J130" s="172">
        <v>0</v>
      </c>
      <c r="K130" s="172">
        <v>0</v>
      </c>
      <c r="L130" s="172">
        <v>0</v>
      </c>
      <c r="M130" s="178"/>
    </row>
    <row r="131" spans="1:13" ht="14.45" x14ac:dyDescent="0.3">
      <c r="A131" s="1"/>
      <c r="B131" s="24"/>
      <c r="C131" s="20"/>
      <c r="D131" s="9"/>
      <c r="E131" s="112"/>
      <c r="F131" s="112"/>
      <c r="G131" s="29"/>
      <c r="H131" s="29"/>
      <c r="I131" s="29"/>
      <c r="J131" s="29"/>
      <c r="K131" s="29"/>
      <c r="L131" s="29"/>
    </row>
    <row r="132" spans="1:13" ht="14.45" x14ac:dyDescent="0.3">
      <c r="A132" s="1"/>
      <c r="B132" s="24"/>
      <c r="C132" s="20"/>
      <c r="D132" s="9"/>
      <c r="E132" s="112"/>
      <c r="F132" s="112"/>
      <c r="G132" s="29"/>
      <c r="H132" s="29"/>
      <c r="I132" s="29"/>
      <c r="J132" s="29"/>
      <c r="K132" s="29"/>
      <c r="L132" s="29"/>
    </row>
    <row r="133" spans="1:13" ht="14.45" x14ac:dyDescent="0.3">
      <c r="A133" s="1"/>
      <c r="B133" s="24"/>
      <c r="C133" s="20"/>
      <c r="D133" s="9"/>
      <c r="E133" s="112"/>
      <c r="F133" s="112"/>
      <c r="G133" s="29"/>
      <c r="H133" s="29"/>
      <c r="I133" s="29"/>
      <c r="J133" s="29"/>
      <c r="K133" s="29"/>
      <c r="L133" s="29"/>
    </row>
    <row r="149" spans="1:8" ht="14.45" x14ac:dyDescent="0.3">
      <c r="B149" s="39"/>
      <c r="C149" s="39"/>
      <c r="D149" s="39"/>
    </row>
    <row r="150" spans="1:8" ht="14.45" x14ac:dyDescent="0.3">
      <c r="B150" s="39"/>
      <c r="C150" s="39"/>
      <c r="D150" s="39"/>
    </row>
    <row r="151" spans="1:8" ht="14.45" x14ac:dyDescent="0.3">
      <c r="B151" s="39"/>
      <c r="C151" s="39"/>
      <c r="D151" s="39"/>
    </row>
    <row r="152" spans="1:8" ht="14.45" x14ac:dyDescent="0.3">
      <c r="B152" s="39"/>
      <c r="C152" s="39"/>
      <c r="D152" s="39"/>
    </row>
    <row r="153" spans="1:8" ht="14.45" x14ac:dyDescent="0.3">
      <c r="B153" s="39"/>
      <c r="C153" s="39"/>
      <c r="D153" s="39"/>
    </row>
    <row r="155" spans="1:8" ht="14.45" x14ac:dyDescent="0.3">
      <c r="C155" s="151" t="s">
        <v>264</v>
      </c>
    </row>
    <row r="156" spans="1:8" ht="28.9" x14ac:dyDescent="0.3">
      <c r="A156" t="s">
        <v>72</v>
      </c>
      <c r="B156" s="23" t="s">
        <v>262</v>
      </c>
      <c r="C156" s="49" t="s">
        <v>263</v>
      </c>
      <c r="D156" s="49" t="s">
        <v>219</v>
      </c>
      <c r="E156" s="49" t="s">
        <v>220</v>
      </c>
      <c r="F156" s="49" t="s">
        <v>221</v>
      </c>
      <c r="G156" s="49" t="s">
        <v>222</v>
      </c>
      <c r="H156" s="49" t="s">
        <v>223</v>
      </c>
    </row>
    <row r="157" spans="1:8" ht="14.45" x14ac:dyDescent="0.3">
      <c r="A157" s="47" t="s">
        <v>184</v>
      </c>
      <c r="B157" s="29">
        <v>14</v>
      </c>
      <c r="C157" s="29">
        <v>3</v>
      </c>
      <c r="D157" s="29">
        <v>7</v>
      </c>
      <c r="E157" s="29">
        <v>1</v>
      </c>
      <c r="F157" s="29">
        <v>0</v>
      </c>
      <c r="G157" s="29">
        <v>3</v>
      </c>
      <c r="H157" s="29">
        <v>0</v>
      </c>
    </row>
    <row r="158" spans="1:8" ht="14.45" x14ac:dyDescent="0.3">
      <c r="A158" s="47" t="s">
        <v>55</v>
      </c>
      <c r="B158" s="102">
        <v>15</v>
      </c>
      <c r="C158" s="123">
        <v>4</v>
      </c>
      <c r="D158" s="124">
        <v>3</v>
      </c>
      <c r="E158" s="124">
        <v>5</v>
      </c>
      <c r="F158" s="124">
        <v>1</v>
      </c>
      <c r="G158" s="124">
        <v>2</v>
      </c>
      <c r="H158" s="124">
        <v>0</v>
      </c>
    </row>
    <row r="159" spans="1:8" ht="14.45" x14ac:dyDescent="0.3">
      <c r="A159" s="47" t="s">
        <v>369</v>
      </c>
      <c r="B159" s="29">
        <v>14</v>
      </c>
      <c r="C159" s="123">
        <v>1</v>
      </c>
      <c r="D159" s="124">
        <v>2</v>
      </c>
      <c r="E159" s="124">
        <v>1</v>
      </c>
      <c r="F159" s="124">
        <v>9</v>
      </c>
      <c r="G159" s="124">
        <v>0</v>
      </c>
      <c r="H159" s="124">
        <v>1</v>
      </c>
    </row>
    <row r="160" spans="1:8" ht="14.45" x14ac:dyDescent="0.3">
      <c r="A160" s="47" t="s">
        <v>370</v>
      </c>
      <c r="B160" s="29">
        <v>7</v>
      </c>
      <c r="C160" s="123">
        <v>0</v>
      </c>
      <c r="D160" s="124">
        <v>0</v>
      </c>
      <c r="E160" s="124">
        <v>1</v>
      </c>
      <c r="F160" s="124">
        <v>5</v>
      </c>
      <c r="G160" s="124">
        <v>1</v>
      </c>
      <c r="H160" s="124">
        <v>0</v>
      </c>
    </row>
    <row r="161" spans="1:8" ht="14.45" x14ac:dyDescent="0.3">
      <c r="A161" s="47" t="s">
        <v>371</v>
      </c>
      <c r="B161" s="29">
        <v>6</v>
      </c>
      <c r="C161" s="29">
        <v>1</v>
      </c>
      <c r="D161" s="29">
        <v>0</v>
      </c>
      <c r="E161" s="125">
        <v>0</v>
      </c>
      <c r="F161" s="125">
        <v>1</v>
      </c>
      <c r="G161" s="125">
        <v>4</v>
      </c>
      <c r="H161" s="125">
        <v>0</v>
      </c>
    </row>
    <row r="162" spans="1:8" ht="14.45" x14ac:dyDescent="0.3">
      <c r="A162" s="47" t="s">
        <v>377</v>
      </c>
      <c r="B162" s="29">
        <v>5</v>
      </c>
      <c r="C162" s="29">
        <v>0</v>
      </c>
      <c r="D162" s="29">
        <v>1</v>
      </c>
      <c r="E162" s="125">
        <v>0</v>
      </c>
      <c r="F162" s="125">
        <v>0</v>
      </c>
      <c r="G162" s="125">
        <v>1</v>
      </c>
      <c r="H162" s="125">
        <v>3</v>
      </c>
    </row>
    <row r="163" spans="1:8" ht="14.45" x14ac:dyDescent="0.3">
      <c r="A163" s="47" t="s">
        <v>372</v>
      </c>
      <c r="B163" s="29">
        <v>10</v>
      </c>
      <c r="C163" s="29">
        <v>2</v>
      </c>
      <c r="D163" s="29">
        <v>3</v>
      </c>
      <c r="E163" s="125">
        <v>1</v>
      </c>
      <c r="F163" s="125">
        <v>1</v>
      </c>
      <c r="G163" s="125">
        <v>0</v>
      </c>
      <c r="H163" s="125">
        <v>3</v>
      </c>
    </row>
    <row r="164" spans="1:8" ht="14.45" x14ac:dyDescent="0.3">
      <c r="A164" s="47" t="s">
        <v>346</v>
      </c>
      <c r="B164" s="29">
        <v>12</v>
      </c>
      <c r="C164" s="29">
        <v>2</v>
      </c>
      <c r="D164" s="29">
        <v>2</v>
      </c>
      <c r="E164" s="125">
        <v>1</v>
      </c>
      <c r="F164" s="125">
        <v>6</v>
      </c>
      <c r="G164" s="125">
        <v>0</v>
      </c>
      <c r="H164" s="125">
        <v>1</v>
      </c>
    </row>
    <row r="165" spans="1:8" ht="14.45" x14ac:dyDescent="0.3">
      <c r="A165" s="47" t="s">
        <v>39</v>
      </c>
      <c r="B165" s="29">
        <v>4</v>
      </c>
      <c r="C165" s="29">
        <v>2</v>
      </c>
      <c r="D165" s="29">
        <v>1</v>
      </c>
      <c r="E165" s="125">
        <v>0</v>
      </c>
      <c r="F165" s="125">
        <v>0</v>
      </c>
      <c r="G165" s="29">
        <v>1</v>
      </c>
      <c r="H165" s="29">
        <v>0</v>
      </c>
    </row>
    <row r="166" spans="1:8" ht="14.45" x14ac:dyDescent="0.3">
      <c r="A166" s="47" t="s">
        <v>21</v>
      </c>
      <c r="B166" s="29">
        <v>7</v>
      </c>
      <c r="C166" s="29">
        <v>2</v>
      </c>
      <c r="D166" s="29">
        <v>4</v>
      </c>
      <c r="E166" s="125">
        <v>1</v>
      </c>
      <c r="F166" s="125">
        <v>0</v>
      </c>
      <c r="G166" s="29">
        <v>0</v>
      </c>
      <c r="H166" s="29">
        <v>0</v>
      </c>
    </row>
    <row r="167" spans="1:8" x14ac:dyDescent="0.25">
      <c r="A167" s="47" t="s">
        <v>20</v>
      </c>
      <c r="B167" s="29">
        <v>7</v>
      </c>
      <c r="C167" s="29">
        <v>3</v>
      </c>
      <c r="D167" s="29">
        <v>2</v>
      </c>
      <c r="E167" s="125">
        <v>0</v>
      </c>
      <c r="F167" s="125">
        <v>2</v>
      </c>
      <c r="G167" s="29">
        <v>0</v>
      </c>
      <c r="H167" s="29">
        <v>0</v>
      </c>
    </row>
    <row r="168" spans="1:8" x14ac:dyDescent="0.25">
      <c r="A168" s="47" t="s">
        <v>19</v>
      </c>
      <c r="B168" s="29">
        <v>6</v>
      </c>
      <c r="C168" s="29">
        <v>1</v>
      </c>
      <c r="D168" s="29">
        <v>1</v>
      </c>
      <c r="E168" s="125">
        <v>0</v>
      </c>
      <c r="F168" s="125">
        <v>0</v>
      </c>
      <c r="G168" s="29">
        <v>0</v>
      </c>
      <c r="H168" s="29">
        <v>0</v>
      </c>
    </row>
    <row r="169" spans="1:8" x14ac:dyDescent="0.25">
      <c r="A169" s="47" t="s">
        <v>441</v>
      </c>
      <c r="B169" s="29">
        <v>3</v>
      </c>
      <c r="C169" s="29">
        <v>0</v>
      </c>
      <c r="D169" s="29">
        <v>3</v>
      </c>
      <c r="E169" s="125">
        <v>0</v>
      </c>
      <c r="F169" s="125">
        <v>0</v>
      </c>
      <c r="G169" s="29">
        <v>0</v>
      </c>
      <c r="H169" s="29">
        <v>0</v>
      </c>
    </row>
    <row r="170" spans="1:8" x14ac:dyDescent="0.25">
      <c r="A170" s="47" t="s">
        <v>17</v>
      </c>
      <c r="B170" s="29">
        <v>2</v>
      </c>
      <c r="C170" s="29">
        <v>1</v>
      </c>
      <c r="D170" s="29">
        <v>1</v>
      </c>
      <c r="E170" s="125">
        <v>0</v>
      </c>
      <c r="F170" s="125">
        <v>0</v>
      </c>
      <c r="G170" s="29">
        <v>0</v>
      </c>
      <c r="H170" s="29">
        <v>0</v>
      </c>
    </row>
    <row r="171" spans="1:8" x14ac:dyDescent="0.25">
      <c r="A171" s="47" t="s">
        <v>369</v>
      </c>
      <c r="B171" s="29">
        <v>3</v>
      </c>
      <c r="C171" s="29">
        <v>1</v>
      </c>
      <c r="D171" s="29">
        <v>1</v>
      </c>
      <c r="E171" s="125">
        <v>1</v>
      </c>
      <c r="F171" s="125">
        <v>0</v>
      </c>
      <c r="G171" s="29">
        <v>0</v>
      </c>
      <c r="H171" s="29">
        <v>0</v>
      </c>
    </row>
    <row r="172" spans="1:8" x14ac:dyDescent="0.25">
      <c r="A172" s="47" t="s">
        <v>370</v>
      </c>
      <c r="B172" s="29">
        <v>1</v>
      </c>
      <c r="C172" s="29">
        <v>0</v>
      </c>
      <c r="D172" s="29">
        <v>1</v>
      </c>
      <c r="E172" s="125">
        <v>0</v>
      </c>
      <c r="F172" s="125">
        <v>0</v>
      </c>
      <c r="G172" s="29">
        <v>0</v>
      </c>
      <c r="H172" s="29">
        <v>0</v>
      </c>
    </row>
    <row r="173" spans="1:8" x14ac:dyDescent="0.25">
      <c r="A173" s="47" t="s">
        <v>371</v>
      </c>
      <c r="B173" s="29">
        <v>1</v>
      </c>
      <c r="C173" s="29">
        <v>0</v>
      </c>
      <c r="D173" s="29">
        <v>0</v>
      </c>
      <c r="E173" s="125">
        <v>0</v>
      </c>
      <c r="F173" s="125">
        <v>0</v>
      </c>
      <c r="G173" s="29">
        <v>0</v>
      </c>
      <c r="H173" s="29">
        <v>0</v>
      </c>
    </row>
    <row r="174" spans="1:8" x14ac:dyDescent="0.25">
      <c r="A174" s="47" t="s">
        <v>492</v>
      </c>
      <c r="B174" s="29">
        <v>6</v>
      </c>
      <c r="C174" s="29">
        <v>4</v>
      </c>
      <c r="D174" s="29">
        <v>1</v>
      </c>
      <c r="E174" s="125">
        <v>1</v>
      </c>
      <c r="F174" s="125">
        <v>0</v>
      </c>
      <c r="G174" s="29">
        <v>0</v>
      </c>
      <c r="H174" s="29">
        <v>0</v>
      </c>
    </row>
  </sheetData>
  <mergeCells count="2">
    <mergeCell ref="G104:M104"/>
    <mergeCell ref="G1:M1"/>
  </mergeCells>
  <pageMargins left="0.25" right="0.25" top="0.75" bottom="0.75" header="0.3" footer="0.3"/>
  <pageSetup scale="98" fitToHeight="0" orientation="landscape" r:id="rId1"/>
  <rowBreaks count="4" manualBreakCount="4">
    <brk id="1" max="13" man="1"/>
    <brk id="48" max="16383" man="1"/>
    <brk id="104" max="16383" man="1"/>
    <brk id="154" max="16383" man="1"/>
  </rowBreaks>
  <colBreaks count="2" manualBreakCount="2">
    <brk id="2" max="1048575" man="1"/>
    <brk id="12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8"/>
  <sheetViews>
    <sheetView topLeftCell="A101" zoomScale="80" zoomScaleNormal="80" workbookViewId="0">
      <selection activeCell="K110" sqref="K110"/>
    </sheetView>
  </sheetViews>
  <sheetFormatPr defaultColWidth="9.140625" defaultRowHeight="15" x14ac:dyDescent="0.25"/>
  <cols>
    <col min="1" max="1" width="9.140625" style="25"/>
    <col min="2" max="2" width="11.140625" style="25" customWidth="1"/>
    <col min="3" max="3" width="9.140625" style="25"/>
    <col min="4" max="4" width="10.140625" style="25" customWidth="1"/>
    <col min="5" max="5" width="16.7109375" style="25" customWidth="1"/>
    <col min="6" max="16384" width="9.140625" style="25"/>
  </cols>
  <sheetData>
    <row r="1" spans="1:8" ht="18" x14ac:dyDescent="0.35">
      <c r="A1" s="185" t="s">
        <v>361</v>
      </c>
      <c r="B1" s="31"/>
      <c r="D1" s="31"/>
      <c r="E1" s="31"/>
    </row>
    <row r="2" spans="1:8" ht="15.6" x14ac:dyDescent="0.3">
      <c r="A2" s="143" t="s">
        <v>362</v>
      </c>
      <c r="B2" s="143"/>
      <c r="C2" s="143"/>
      <c r="D2" s="143"/>
      <c r="E2" s="143"/>
      <c r="F2" s="143"/>
      <c r="G2" s="143"/>
    </row>
    <row r="3" spans="1:8" ht="47.25" customHeight="1" x14ac:dyDescent="0.3">
      <c r="A3" s="25" t="s">
        <v>72</v>
      </c>
      <c r="B3" s="31" t="s">
        <v>496</v>
      </c>
      <c r="C3" s="25" t="s">
        <v>6</v>
      </c>
      <c r="D3" s="31" t="s">
        <v>365</v>
      </c>
      <c r="E3" s="164" t="s">
        <v>497</v>
      </c>
      <c r="G3" s="31" t="s">
        <v>326</v>
      </c>
      <c r="H3" s="25" t="s">
        <v>368</v>
      </c>
    </row>
    <row r="4" spans="1:8" ht="14.45" x14ac:dyDescent="0.3">
      <c r="A4" s="26">
        <v>41214</v>
      </c>
      <c r="B4" s="27">
        <f>E4/D4</f>
        <v>0.2857142857142857</v>
      </c>
      <c r="C4" s="28">
        <v>0.9</v>
      </c>
      <c r="D4" s="32">
        <v>7</v>
      </c>
      <c r="E4" s="33">
        <v>2</v>
      </c>
      <c r="G4" s="42">
        <v>390.85</v>
      </c>
      <c r="H4" s="25">
        <v>90</v>
      </c>
    </row>
    <row r="5" spans="1:8" ht="14.45" x14ac:dyDescent="0.3">
      <c r="A5" s="26">
        <v>41244</v>
      </c>
      <c r="B5" s="27">
        <f t="shared" ref="B5:B22" si="0">E5/D5</f>
        <v>5.8823529411764705E-2</v>
      </c>
      <c r="C5" s="28">
        <v>0.9</v>
      </c>
      <c r="D5" s="33">
        <v>17</v>
      </c>
      <c r="E5" s="33">
        <v>1</v>
      </c>
      <c r="G5" s="42">
        <v>417.21</v>
      </c>
      <c r="H5" s="25">
        <v>90</v>
      </c>
    </row>
    <row r="6" spans="1:8" ht="14.45" x14ac:dyDescent="0.3">
      <c r="A6" s="26">
        <v>41275</v>
      </c>
      <c r="B6" s="27">
        <f t="shared" si="0"/>
        <v>0</v>
      </c>
      <c r="C6" s="28">
        <v>0.9</v>
      </c>
      <c r="D6" s="33">
        <v>18</v>
      </c>
      <c r="E6" s="33">
        <v>0</v>
      </c>
      <c r="G6" s="42">
        <v>507</v>
      </c>
      <c r="H6" s="25">
        <v>90</v>
      </c>
    </row>
    <row r="7" spans="1:8" ht="14.45" x14ac:dyDescent="0.3">
      <c r="A7" s="26">
        <v>41306</v>
      </c>
      <c r="B7" s="27">
        <f t="shared" si="0"/>
        <v>0</v>
      </c>
      <c r="C7" s="28">
        <v>0.9</v>
      </c>
      <c r="D7" s="33">
        <v>38</v>
      </c>
      <c r="E7" s="33">
        <v>0</v>
      </c>
      <c r="G7" s="42">
        <v>473.7</v>
      </c>
      <c r="H7" s="25">
        <v>90</v>
      </c>
    </row>
    <row r="8" spans="1:8" ht="14.45" x14ac:dyDescent="0.3">
      <c r="A8" s="26">
        <v>41334</v>
      </c>
      <c r="B8" s="27">
        <f t="shared" si="0"/>
        <v>0</v>
      </c>
      <c r="C8" s="28">
        <v>0.9</v>
      </c>
      <c r="D8" s="33">
        <v>9</v>
      </c>
      <c r="E8" s="33">
        <v>0</v>
      </c>
      <c r="G8" s="42">
        <v>462.2</v>
      </c>
      <c r="H8" s="25">
        <v>90</v>
      </c>
    </row>
    <row r="9" spans="1:8" ht="14.45" x14ac:dyDescent="0.3">
      <c r="A9" s="26">
        <v>41365</v>
      </c>
      <c r="B9" s="27">
        <f t="shared" si="0"/>
        <v>0.14285714285714285</v>
      </c>
      <c r="C9" s="28">
        <v>0.9</v>
      </c>
      <c r="D9" s="33">
        <v>7</v>
      </c>
      <c r="E9" s="33">
        <v>1</v>
      </c>
      <c r="G9" s="42">
        <v>251.6</v>
      </c>
      <c r="H9" s="25">
        <v>90</v>
      </c>
    </row>
    <row r="10" spans="1:8" ht="14.45" x14ac:dyDescent="0.3">
      <c r="A10" s="26">
        <v>41395</v>
      </c>
      <c r="B10" s="27">
        <f t="shared" si="0"/>
        <v>4.1666666666666664E-2</v>
      </c>
      <c r="C10" s="209">
        <v>0.9</v>
      </c>
      <c r="D10" s="33">
        <v>24</v>
      </c>
      <c r="E10" s="33">
        <v>1</v>
      </c>
      <c r="G10" s="42">
        <v>274.2</v>
      </c>
      <c r="H10" s="207">
        <v>90</v>
      </c>
    </row>
    <row r="11" spans="1:8" ht="14.45" x14ac:dyDescent="0.3">
      <c r="A11" s="26">
        <v>41426</v>
      </c>
      <c r="B11" s="27">
        <f t="shared" si="0"/>
        <v>7.407407407407407E-2</v>
      </c>
      <c r="C11" s="28">
        <v>0.9</v>
      </c>
      <c r="D11" s="33">
        <v>27</v>
      </c>
      <c r="E11" s="33">
        <v>2</v>
      </c>
      <c r="G11" s="42">
        <v>309.39999999999998</v>
      </c>
      <c r="H11" s="207">
        <v>90</v>
      </c>
    </row>
    <row r="12" spans="1:8" ht="14.45" x14ac:dyDescent="0.3">
      <c r="A12" s="26">
        <v>41456</v>
      </c>
      <c r="B12" s="27">
        <f t="shared" si="0"/>
        <v>0.2</v>
      </c>
      <c r="C12" s="209">
        <v>0.9</v>
      </c>
      <c r="D12" s="33">
        <v>10</v>
      </c>
      <c r="E12" s="33">
        <v>2</v>
      </c>
      <c r="G12" s="42">
        <v>220.7</v>
      </c>
      <c r="H12" s="207">
        <v>90</v>
      </c>
    </row>
    <row r="13" spans="1:8" ht="14.45" x14ac:dyDescent="0.3">
      <c r="A13" s="26">
        <v>41487</v>
      </c>
      <c r="B13" s="27">
        <f t="shared" si="0"/>
        <v>0.27777777777777779</v>
      </c>
      <c r="C13" s="209">
        <v>0.9</v>
      </c>
      <c r="D13" s="33">
        <v>18</v>
      </c>
      <c r="E13" s="33">
        <v>5</v>
      </c>
      <c r="G13" s="42">
        <v>203.7</v>
      </c>
      <c r="H13" s="207">
        <v>90</v>
      </c>
    </row>
    <row r="14" spans="1:8" ht="14.45" x14ac:dyDescent="0.3">
      <c r="A14" s="26">
        <v>41518</v>
      </c>
      <c r="B14" s="27">
        <f t="shared" si="0"/>
        <v>8.3333333333333329E-2</v>
      </c>
      <c r="C14" s="209">
        <v>0.9</v>
      </c>
      <c r="D14" s="33">
        <v>12</v>
      </c>
      <c r="E14" s="33">
        <v>1</v>
      </c>
      <c r="G14" s="42">
        <v>324</v>
      </c>
      <c r="H14" s="207">
        <v>90</v>
      </c>
    </row>
    <row r="15" spans="1:8" ht="14.45" x14ac:dyDescent="0.3">
      <c r="A15" s="26">
        <v>41548</v>
      </c>
      <c r="B15" s="208">
        <f t="shared" si="0"/>
        <v>0</v>
      </c>
      <c r="C15" s="209">
        <v>0.9</v>
      </c>
      <c r="D15" s="33">
        <v>6</v>
      </c>
      <c r="E15" s="33">
        <v>0</v>
      </c>
      <c r="G15" s="42">
        <v>425.3</v>
      </c>
      <c r="H15" s="207">
        <v>90</v>
      </c>
    </row>
    <row r="16" spans="1:8" ht="14.45" x14ac:dyDescent="0.3">
      <c r="A16" s="26">
        <v>41579</v>
      </c>
      <c r="B16" s="208">
        <f t="shared" si="0"/>
        <v>0</v>
      </c>
      <c r="C16" s="209">
        <v>0.9</v>
      </c>
      <c r="D16" s="33">
        <v>4</v>
      </c>
      <c r="E16" s="33">
        <v>0</v>
      </c>
      <c r="G16" s="42">
        <v>433.3</v>
      </c>
      <c r="H16" s="207">
        <v>90</v>
      </c>
    </row>
    <row r="17" spans="1:8" s="207" customFormat="1" ht="14.45" x14ac:dyDescent="0.3">
      <c r="A17" s="26">
        <v>41609</v>
      </c>
      <c r="B17" s="208">
        <f t="shared" si="0"/>
        <v>0</v>
      </c>
      <c r="C17" s="209">
        <v>0.9</v>
      </c>
      <c r="D17" s="33">
        <v>2</v>
      </c>
      <c r="E17" s="33">
        <v>0</v>
      </c>
      <c r="G17" s="42">
        <v>391</v>
      </c>
      <c r="H17" s="207">
        <v>90</v>
      </c>
    </row>
    <row r="18" spans="1:8" s="207" customFormat="1" ht="14.45" x14ac:dyDescent="0.3">
      <c r="A18" s="256">
        <v>41640</v>
      </c>
      <c r="B18" s="208">
        <f t="shared" si="0"/>
        <v>0.375</v>
      </c>
      <c r="C18" s="209">
        <v>0.9</v>
      </c>
      <c r="D18" s="33">
        <v>8</v>
      </c>
      <c r="E18" s="33">
        <v>3</v>
      </c>
      <c r="G18" s="42">
        <v>239.5</v>
      </c>
      <c r="H18" s="207">
        <v>150</v>
      </c>
    </row>
    <row r="19" spans="1:8" s="207" customFormat="1" ht="14.45" x14ac:dyDescent="0.3">
      <c r="A19" s="256">
        <v>41671</v>
      </c>
      <c r="B19" s="208">
        <f t="shared" si="0"/>
        <v>0</v>
      </c>
      <c r="C19" s="209">
        <v>0.9</v>
      </c>
      <c r="D19" s="33">
        <v>2</v>
      </c>
      <c r="E19" s="33">
        <v>0</v>
      </c>
      <c r="G19" s="42">
        <v>429.5</v>
      </c>
      <c r="H19" s="207">
        <v>150</v>
      </c>
    </row>
    <row r="20" spans="1:8" s="207" customFormat="1" ht="14.45" x14ac:dyDescent="0.3">
      <c r="A20" s="256">
        <v>41699</v>
      </c>
      <c r="B20" s="208">
        <f t="shared" si="0"/>
        <v>0</v>
      </c>
      <c r="C20" s="209">
        <v>0.9</v>
      </c>
      <c r="D20" s="33">
        <v>14</v>
      </c>
      <c r="E20" s="33">
        <v>0</v>
      </c>
      <c r="G20" s="42">
        <v>304.8</v>
      </c>
      <c r="H20" s="207">
        <v>150</v>
      </c>
    </row>
    <row r="21" spans="1:8" s="207" customFormat="1" ht="14.45" x14ac:dyDescent="0.3">
      <c r="A21" s="256">
        <v>41730</v>
      </c>
      <c r="B21" s="208">
        <f t="shared" si="0"/>
        <v>0</v>
      </c>
      <c r="C21" s="209">
        <v>0.9</v>
      </c>
      <c r="D21" s="33">
        <v>3</v>
      </c>
      <c r="E21" s="33">
        <v>0</v>
      </c>
      <c r="G21" s="42">
        <v>251.3</v>
      </c>
      <c r="H21" s="207">
        <v>150</v>
      </c>
    </row>
    <row r="22" spans="1:8" s="207" customFormat="1" ht="14.45" x14ac:dyDescent="0.3">
      <c r="A22" s="256">
        <v>41760</v>
      </c>
      <c r="B22" s="208">
        <f t="shared" si="0"/>
        <v>0</v>
      </c>
      <c r="C22" s="209">
        <v>0.9</v>
      </c>
      <c r="D22" s="33">
        <v>1</v>
      </c>
      <c r="E22" s="33">
        <v>0</v>
      </c>
      <c r="G22" s="42">
        <v>153</v>
      </c>
      <c r="H22" s="207">
        <v>150</v>
      </c>
    </row>
    <row r="23" spans="1:8" s="207" customFormat="1" ht="14.45" x14ac:dyDescent="0.3">
      <c r="A23" s="256">
        <v>41791</v>
      </c>
      <c r="B23" s="208">
        <f t="shared" ref="B23:B24" si="1">E23/D23</f>
        <v>0</v>
      </c>
      <c r="C23" s="209">
        <v>0.9</v>
      </c>
      <c r="D23" s="33">
        <v>1</v>
      </c>
      <c r="E23" s="33">
        <v>0</v>
      </c>
      <c r="G23" s="42">
        <v>471</v>
      </c>
      <c r="H23" s="207">
        <v>150</v>
      </c>
    </row>
    <row r="24" spans="1:8" s="207" customFormat="1" ht="14.45" x14ac:dyDescent="0.3">
      <c r="A24" s="256">
        <v>41821</v>
      </c>
      <c r="B24" s="208">
        <f t="shared" si="1"/>
        <v>0</v>
      </c>
      <c r="C24" s="209">
        <v>0.9</v>
      </c>
      <c r="D24" s="33">
        <v>1</v>
      </c>
      <c r="E24" s="33">
        <v>0</v>
      </c>
      <c r="G24" s="42">
        <v>202</v>
      </c>
      <c r="H24" s="207">
        <v>150</v>
      </c>
    </row>
    <row r="25" spans="1:8" s="207" customFormat="1" ht="14.45" x14ac:dyDescent="0.3">
      <c r="A25" s="256">
        <v>41852</v>
      </c>
      <c r="B25" s="208">
        <v>0</v>
      </c>
      <c r="C25" s="209">
        <v>0.9</v>
      </c>
      <c r="D25" s="33">
        <v>0</v>
      </c>
      <c r="E25" s="33">
        <v>0</v>
      </c>
      <c r="G25" s="42">
        <v>0</v>
      </c>
      <c r="H25" s="207">
        <v>150</v>
      </c>
    </row>
    <row r="26" spans="1:8" s="207" customFormat="1" ht="14.45" x14ac:dyDescent="0.3"/>
    <row r="27" spans="1:8" s="207" customFormat="1" ht="14.45" x14ac:dyDescent="0.3"/>
    <row r="28" spans="1:8" s="207" customFormat="1" ht="14.45" x14ac:dyDescent="0.3"/>
    <row r="29" spans="1:8" s="207" customFormat="1" ht="14.45" x14ac:dyDescent="0.3"/>
    <row r="30" spans="1:8" s="207" customFormat="1" ht="14.45" x14ac:dyDescent="0.3"/>
    <row r="31" spans="1:8" s="207" customFormat="1" ht="14.45" x14ac:dyDescent="0.3"/>
    <row r="32" spans="1:8" s="207" customFormat="1" ht="14.45" x14ac:dyDescent="0.3"/>
    <row r="33" spans="1:8" s="207" customFormat="1" ht="14.45" x14ac:dyDescent="0.3"/>
    <row r="34" spans="1:8" s="207" customFormat="1" ht="14.45" x14ac:dyDescent="0.3"/>
    <row r="37" spans="1:8" ht="14.45" hidden="1" x14ac:dyDescent="0.3"/>
    <row r="46" spans="1:8" ht="18" x14ac:dyDescent="0.35">
      <c r="A46" s="185" t="s">
        <v>359</v>
      </c>
      <c r="B46" s="186"/>
    </row>
    <row r="47" spans="1:8" ht="15.6" x14ac:dyDescent="0.3">
      <c r="A47" s="143" t="s">
        <v>360</v>
      </c>
      <c r="B47" s="143"/>
      <c r="C47" s="143"/>
      <c r="D47" s="143"/>
      <c r="E47" s="143"/>
      <c r="F47" s="143"/>
      <c r="G47" s="143"/>
    </row>
    <row r="48" spans="1:8" ht="43.15" x14ac:dyDescent="0.3">
      <c r="B48" s="31" t="s">
        <v>53</v>
      </c>
      <c r="C48" s="25" t="s">
        <v>6</v>
      </c>
      <c r="D48" s="31" t="s">
        <v>366</v>
      </c>
      <c r="E48" s="164" t="s">
        <v>367</v>
      </c>
      <c r="G48" s="31" t="s">
        <v>326</v>
      </c>
      <c r="H48" s="25" t="s">
        <v>368</v>
      </c>
    </row>
    <row r="49" spans="1:10" ht="14.45" x14ac:dyDescent="0.3">
      <c r="A49" s="26">
        <v>41214</v>
      </c>
      <c r="B49" s="27">
        <f t="shared" ref="B49:B50" si="2">E49/D49</f>
        <v>6.6666666666666666E-2</v>
      </c>
      <c r="C49" s="28">
        <v>0.9</v>
      </c>
      <c r="D49" s="32">
        <v>15</v>
      </c>
      <c r="E49" s="33">
        <v>1</v>
      </c>
      <c r="G49" s="42">
        <v>0</v>
      </c>
      <c r="H49" s="25">
        <v>30</v>
      </c>
    </row>
    <row r="50" spans="1:10" ht="14.45" x14ac:dyDescent="0.3">
      <c r="A50" s="26">
        <v>41244</v>
      </c>
      <c r="B50" s="27">
        <f t="shared" si="2"/>
        <v>0.45833333333333331</v>
      </c>
      <c r="C50" s="28">
        <v>0.9</v>
      </c>
      <c r="D50" s="33">
        <v>24</v>
      </c>
      <c r="E50" s="33">
        <v>11</v>
      </c>
      <c r="G50" s="42">
        <v>26.7</v>
      </c>
      <c r="H50" s="25">
        <v>30</v>
      </c>
    </row>
    <row r="51" spans="1:10" ht="14.45" x14ac:dyDescent="0.3">
      <c r="A51" s="26">
        <v>41275</v>
      </c>
      <c r="B51" s="27">
        <f t="shared" ref="B51:B67" si="3">E51/D51</f>
        <v>0.69565217391304346</v>
      </c>
      <c r="C51" s="28">
        <v>0.9</v>
      </c>
      <c r="D51" s="33">
        <v>23</v>
      </c>
      <c r="E51" s="33">
        <v>16</v>
      </c>
      <c r="G51" s="42">
        <v>29.3</v>
      </c>
      <c r="H51" s="25">
        <v>30</v>
      </c>
      <c r="J51" s="25" t="s">
        <v>308</v>
      </c>
    </row>
    <row r="52" spans="1:10" ht="14.45" x14ac:dyDescent="0.3">
      <c r="A52" s="26">
        <v>41306</v>
      </c>
      <c r="B52" s="27">
        <f t="shared" si="3"/>
        <v>0.90625</v>
      </c>
      <c r="C52" s="28">
        <v>0.9</v>
      </c>
      <c r="D52" s="33">
        <v>32</v>
      </c>
      <c r="E52" s="33">
        <v>29</v>
      </c>
      <c r="G52" s="42">
        <v>6.7</v>
      </c>
      <c r="H52" s="25">
        <v>30</v>
      </c>
    </row>
    <row r="53" spans="1:10" ht="14.45" x14ac:dyDescent="0.3">
      <c r="A53" s="26">
        <v>41334</v>
      </c>
      <c r="B53" s="27">
        <f t="shared" si="3"/>
        <v>0.93333333333333335</v>
      </c>
      <c r="C53" s="28">
        <v>0.9</v>
      </c>
      <c r="D53" s="33">
        <v>15</v>
      </c>
      <c r="E53" s="33">
        <v>14</v>
      </c>
      <c r="G53" s="42">
        <v>13</v>
      </c>
      <c r="H53" s="25">
        <v>30</v>
      </c>
    </row>
    <row r="54" spans="1:10" ht="14.45" x14ac:dyDescent="0.3">
      <c r="A54" s="26">
        <v>41365</v>
      </c>
      <c r="B54" s="27">
        <f t="shared" si="3"/>
        <v>1</v>
      </c>
      <c r="C54" s="28">
        <v>0.9</v>
      </c>
      <c r="D54" s="33">
        <v>4</v>
      </c>
      <c r="E54" s="33">
        <v>4</v>
      </c>
      <c r="G54" s="42">
        <v>6.75</v>
      </c>
      <c r="H54" s="25">
        <v>30</v>
      </c>
    </row>
    <row r="55" spans="1:10" ht="14.45" x14ac:dyDescent="0.3">
      <c r="A55" s="26">
        <v>41395</v>
      </c>
      <c r="B55" s="27">
        <f t="shared" si="3"/>
        <v>0.95652173913043481</v>
      </c>
      <c r="C55" s="209">
        <v>0.9</v>
      </c>
      <c r="D55" s="33">
        <v>23</v>
      </c>
      <c r="E55" s="33">
        <v>22</v>
      </c>
      <c r="G55" s="42">
        <v>7.31</v>
      </c>
      <c r="H55" s="207">
        <v>30</v>
      </c>
    </row>
    <row r="56" spans="1:10" ht="14.45" x14ac:dyDescent="0.3">
      <c r="A56" s="26">
        <v>41426</v>
      </c>
      <c r="B56" s="27">
        <f t="shared" si="3"/>
        <v>1</v>
      </c>
      <c r="C56" s="209">
        <v>0.9</v>
      </c>
      <c r="D56" s="33">
        <v>30</v>
      </c>
      <c r="E56" s="33">
        <v>30</v>
      </c>
      <c r="G56" s="42">
        <v>5.6</v>
      </c>
      <c r="H56" s="207">
        <v>30</v>
      </c>
    </row>
    <row r="57" spans="1:10" ht="14.45" x14ac:dyDescent="0.3">
      <c r="A57" s="26">
        <v>41456</v>
      </c>
      <c r="B57" s="208"/>
      <c r="C57" s="209">
        <v>0.9</v>
      </c>
      <c r="D57" s="33"/>
      <c r="E57" s="33"/>
      <c r="G57" s="42"/>
      <c r="H57" s="207">
        <v>30</v>
      </c>
    </row>
    <row r="58" spans="1:10" ht="14.45" x14ac:dyDescent="0.3">
      <c r="A58" s="26">
        <v>41487</v>
      </c>
      <c r="B58" s="208">
        <f t="shared" si="3"/>
        <v>1</v>
      </c>
      <c r="C58" s="209">
        <v>0.9</v>
      </c>
      <c r="D58" s="33">
        <v>10</v>
      </c>
      <c r="E58" s="33">
        <v>10</v>
      </c>
      <c r="G58" s="42">
        <v>10.4</v>
      </c>
      <c r="H58" s="207">
        <v>30</v>
      </c>
    </row>
    <row r="59" spans="1:10" ht="14.45" x14ac:dyDescent="0.3">
      <c r="A59" s="26">
        <v>41518</v>
      </c>
      <c r="B59" s="27">
        <f t="shared" si="3"/>
        <v>0.65</v>
      </c>
      <c r="C59" s="209">
        <v>0.9</v>
      </c>
      <c r="D59" s="33">
        <v>20</v>
      </c>
      <c r="E59" s="33">
        <v>13</v>
      </c>
      <c r="G59" s="42">
        <v>28.4</v>
      </c>
      <c r="H59" s="207">
        <v>30</v>
      </c>
    </row>
    <row r="60" spans="1:10" ht="14.45" x14ac:dyDescent="0.3">
      <c r="A60" s="26">
        <v>41548</v>
      </c>
      <c r="B60" s="208">
        <f t="shared" si="3"/>
        <v>0</v>
      </c>
      <c r="C60" s="209">
        <v>0.9</v>
      </c>
      <c r="D60" s="33">
        <v>3</v>
      </c>
      <c r="E60" s="33">
        <v>0</v>
      </c>
      <c r="G60" s="42">
        <v>59.5</v>
      </c>
      <c r="H60" s="207">
        <v>30</v>
      </c>
    </row>
    <row r="61" spans="1:10" s="207" customFormat="1" ht="14.45" x14ac:dyDescent="0.3">
      <c r="A61" s="26">
        <v>41579</v>
      </c>
      <c r="B61" s="208">
        <f t="shared" si="3"/>
        <v>0.4</v>
      </c>
      <c r="C61" s="209">
        <v>0.9</v>
      </c>
      <c r="D61" s="33">
        <v>10</v>
      </c>
      <c r="E61" s="33">
        <v>4</v>
      </c>
      <c r="G61" s="42">
        <v>101.6</v>
      </c>
      <c r="H61" s="207">
        <v>30</v>
      </c>
    </row>
    <row r="62" spans="1:10" s="207" customFormat="1" ht="14.45" x14ac:dyDescent="0.3">
      <c r="A62" s="26">
        <v>41609</v>
      </c>
      <c r="B62" s="208"/>
      <c r="C62" s="209">
        <v>0.9</v>
      </c>
      <c r="D62" s="33"/>
      <c r="E62" s="33"/>
      <c r="G62" s="42"/>
      <c r="H62" s="207">
        <v>30</v>
      </c>
    </row>
    <row r="63" spans="1:10" s="207" customFormat="1" ht="14.45" x14ac:dyDescent="0.3">
      <c r="A63" s="256">
        <v>41640</v>
      </c>
      <c r="B63" s="208">
        <f t="shared" si="3"/>
        <v>0.875</v>
      </c>
      <c r="C63" s="209">
        <v>0.9</v>
      </c>
      <c r="D63" s="33">
        <v>8</v>
      </c>
      <c r="E63" s="33">
        <v>7</v>
      </c>
      <c r="G63" s="42">
        <v>11.25</v>
      </c>
      <c r="H63" s="207">
        <v>30</v>
      </c>
    </row>
    <row r="64" spans="1:10" s="207" customFormat="1" ht="14.45" x14ac:dyDescent="0.3">
      <c r="A64" s="256">
        <v>41671</v>
      </c>
      <c r="B64" s="208">
        <f t="shared" si="3"/>
        <v>1</v>
      </c>
      <c r="C64" s="209">
        <v>0.9</v>
      </c>
      <c r="D64" s="33">
        <v>12</v>
      </c>
      <c r="E64" s="33">
        <v>12</v>
      </c>
      <c r="G64" s="42">
        <v>5.66</v>
      </c>
      <c r="H64" s="207">
        <v>30</v>
      </c>
    </row>
    <row r="65" spans="1:8" s="207" customFormat="1" ht="14.45" x14ac:dyDescent="0.3">
      <c r="A65" s="256">
        <v>41699</v>
      </c>
      <c r="B65" s="208">
        <f t="shared" si="3"/>
        <v>1</v>
      </c>
      <c r="C65" s="209">
        <v>0.9</v>
      </c>
      <c r="D65" s="33">
        <v>15</v>
      </c>
      <c r="E65" s="33">
        <v>15</v>
      </c>
      <c r="G65" s="42">
        <v>6.8</v>
      </c>
      <c r="H65" s="207">
        <v>30</v>
      </c>
    </row>
    <row r="66" spans="1:8" s="207" customFormat="1" ht="14.45" x14ac:dyDescent="0.3">
      <c r="A66" s="256">
        <v>41730</v>
      </c>
      <c r="B66" s="208">
        <f t="shared" si="3"/>
        <v>0.875</v>
      </c>
      <c r="C66" s="209">
        <v>0.9</v>
      </c>
      <c r="D66" s="33">
        <v>8</v>
      </c>
      <c r="E66" s="33">
        <v>7</v>
      </c>
      <c r="G66" s="42">
        <v>20.63</v>
      </c>
      <c r="H66" s="207">
        <v>30</v>
      </c>
    </row>
    <row r="67" spans="1:8" s="207" customFormat="1" ht="14.45" x14ac:dyDescent="0.3">
      <c r="A67" s="256">
        <v>41760</v>
      </c>
      <c r="B67" s="208">
        <f t="shared" si="3"/>
        <v>1</v>
      </c>
      <c r="C67" s="209">
        <v>0.9</v>
      </c>
      <c r="D67" s="33">
        <v>9</v>
      </c>
      <c r="E67" s="33">
        <v>9</v>
      </c>
      <c r="G67" s="42">
        <v>11.78</v>
      </c>
      <c r="H67" s="207">
        <v>30</v>
      </c>
    </row>
    <row r="68" spans="1:8" s="207" customFormat="1" ht="14.45" x14ac:dyDescent="0.3">
      <c r="A68" s="256">
        <v>41791</v>
      </c>
      <c r="B68" s="208">
        <f t="shared" ref="B68:B70" si="4">E68/D68</f>
        <v>1</v>
      </c>
      <c r="C68" s="209">
        <v>0.9</v>
      </c>
      <c r="D68" s="33">
        <v>2</v>
      </c>
      <c r="E68" s="33">
        <v>2</v>
      </c>
      <c r="G68" s="42">
        <v>2</v>
      </c>
      <c r="H68" s="207">
        <v>30</v>
      </c>
    </row>
    <row r="69" spans="1:8" s="207" customFormat="1" ht="14.45" x14ac:dyDescent="0.3">
      <c r="A69" s="256">
        <v>41821</v>
      </c>
      <c r="B69" s="208">
        <f t="shared" si="4"/>
        <v>1</v>
      </c>
      <c r="C69" s="209">
        <v>0.9</v>
      </c>
      <c r="D69" s="33">
        <v>3</v>
      </c>
      <c r="E69" s="33">
        <v>3</v>
      </c>
      <c r="G69" s="42">
        <v>16.329999999999998</v>
      </c>
      <c r="H69" s="207">
        <v>30</v>
      </c>
    </row>
    <row r="70" spans="1:8" s="207" customFormat="1" ht="14.45" x14ac:dyDescent="0.3">
      <c r="A70" s="256">
        <v>41852</v>
      </c>
      <c r="B70" s="208">
        <f t="shared" si="4"/>
        <v>1</v>
      </c>
      <c r="C70" s="209">
        <v>0.9</v>
      </c>
      <c r="D70" s="33">
        <v>9</v>
      </c>
      <c r="E70" s="33">
        <v>9</v>
      </c>
      <c r="G70" s="42">
        <v>6.8890000000000002</v>
      </c>
      <c r="H70" s="207">
        <v>30</v>
      </c>
    </row>
    <row r="71" spans="1:8" s="207" customFormat="1" ht="14.45" x14ac:dyDescent="0.3">
      <c r="A71" s="26"/>
    </row>
    <row r="72" spans="1:8" s="207" customFormat="1" ht="14.45" x14ac:dyDescent="0.3">
      <c r="A72" s="26"/>
    </row>
    <row r="87" spans="1:8" ht="18" x14ac:dyDescent="0.35">
      <c r="A87" s="185" t="s">
        <v>363</v>
      </c>
      <c r="B87" s="31"/>
      <c r="D87" s="31"/>
      <c r="E87" s="31"/>
    </row>
    <row r="88" spans="1:8" ht="15.6" x14ac:dyDescent="0.3">
      <c r="A88" s="143" t="s">
        <v>364</v>
      </c>
      <c r="B88" s="143"/>
      <c r="C88" s="143"/>
      <c r="D88" s="143"/>
      <c r="E88" s="143"/>
      <c r="F88" s="143"/>
      <c r="G88" s="143"/>
    </row>
    <row r="89" spans="1:8" ht="43.15" x14ac:dyDescent="0.3">
      <c r="A89" s="25" t="s">
        <v>72</v>
      </c>
      <c r="B89" s="31" t="s">
        <v>498</v>
      </c>
      <c r="C89" s="25" t="s">
        <v>6</v>
      </c>
      <c r="D89" s="31" t="s">
        <v>327</v>
      </c>
      <c r="E89" s="164" t="s">
        <v>499</v>
      </c>
      <c r="G89" s="31" t="s">
        <v>326</v>
      </c>
      <c r="H89" s="25" t="s">
        <v>368</v>
      </c>
    </row>
    <row r="90" spans="1:8" ht="14.45" x14ac:dyDescent="0.3">
      <c r="A90" s="26">
        <v>41214</v>
      </c>
      <c r="B90" s="27">
        <f t="shared" ref="B90:B111" si="5">E90/D90</f>
        <v>0.13333333333333333</v>
      </c>
      <c r="C90" s="28">
        <v>0.9</v>
      </c>
      <c r="D90" s="32">
        <v>15</v>
      </c>
      <c r="E90" s="33">
        <v>2</v>
      </c>
      <c r="G90" s="42">
        <v>581.5</v>
      </c>
      <c r="H90" s="25">
        <v>120</v>
      </c>
    </row>
    <row r="91" spans="1:8" ht="14.45" x14ac:dyDescent="0.3">
      <c r="A91" s="26">
        <v>41244</v>
      </c>
      <c r="B91" s="27">
        <f t="shared" si="5"/>
        <v>0.16666666666666666</v>
      </c>
      <c r="C91" s="28">
        <v>0.9</v>
      </c>
      <c r="D91" s="33">
        <v>24</v>
      </c>
      <c r="E91" s="33">
        <v>4</v>
      </c>
      <c r="G91" s="42">
        <v>421.5</v>
      </c>
      <c r="H91" s="25">
        <v>120</v>
      </c>
    </row>
    <row r="92" spans="1:8" ht="14.45" x14ac:dyDescent="0.3">
      <c r="A92" s="26">
        <v>41275</v>
      </c>
      <c r="B92" s="27">
        <f t="shared" si="5"/>
        <v>4.3478260869565216E-2</v>
      </c>
      <c r="C92" s="28">
        <v>0.9</v>
      </c>
      <c r="D92" s="33">
        <v>23</v>
      </c>
      <c r="E92" s="33">
        <v>1</v>
      </c>
      <c r="G92" s="42">
        <v>568.5</v>
      </c>
      <c r="H92" s="25">
        <v>120</v>
      </c>
    </row>
    <row r="93" spans="1:8" ht="14.45" x14ac:dyDescent="0.3">
      <c r="A93" s="26">
        <v>41306</v>
      </c>
      <c r="B93" s="27">
        <f t="shared" si="5"/>
        <v>0</v>
      </c>
      <c r="C93" s="28">
        <v>0.9</v>
      </c>
      <c r="D93" s="33">
        <v>32</v>
      </c>
      <c r="E93" s="33">
        <v>0</v>
      </c>
      <c r="G93" s="42">
        <v>523.1</v>
      </c>
      <c r="H93" s="25">
        <v>120</v>
      </c>
    </row>
    <row r="94" spans="1:8" ht="14.45" x14ac:dyDescent="0.3">
      <c r="A94" s="26">
        <v>41334</v>
      </c>
      <c r="B94" s="27">
        <f t="shared" si="5"/>
        <v>0</v>
      </c>
      <c r="C94" s="28">
        <v>0.9</v>
      </c>
      <c r="D94" s="33">
        <v>15</v>
      </c>
      <c r="E94" s="33">
        <v>0</v>
      </c>
      <c r="G94" s="42">
        <v>323</v>
      </c>
      <c r="H94" s="25">
        <v>120</v>
      </c>
    </row>
    <row r="95" spans="1:8" ht="14.45" x14ac:dyDescent="0.3">
      <c r="A95" s="26">
        <v>41365</v>
      </c>
      <c r="B95" s="27">
        <f t="shared" si="5"/>
        <v>0</v>
      </c>
      <c r="C95" s="28">
        <v>0.9</v>
      </c>
      <c r="D95" s="33">
        <v>4</v>
      </c>
      <c r="E95" s="33">
        <v>0</v>
      </c>
      <c r="G95" s="42">
        <v>235.7</v>
      </c>
      <c r="H95" s="25">
        <v>120</v>
      </c>
    </row>
    <row r="96" spans="1:8" ht="14.45" x14ac:dyDescent="0.3">
      <c r="A96" s="26">
        <v>41395</v>
      </c>
      <c r="B96" s="27">
        <f t="shared" si="5"/>
        <v>0.13043478260869565</v>
      </c>
      <c r="C96" s="209">
        <v>0.9</v>
      </c>
      <c r="D96" s="33">
        <v>23</v>
      </c>
      <c r="E96" s="33">
        <v>3</v>
      </c>
      <c r="G96" s="42">
        <v>293</v>
      </c>
      <c r="H96" s="207">
        <v>120</v>
      </c>
    </row>
    <row r="97" spans="1:8" ht="14.45" x14ac:dyDescent="0.3">
      <c r="A97" s="26">
        <v>41426</v>
      </c>
      <c r="B97" s="208">
        <f t="shared" si="5"/>
        <v>6.6666666666666666E-2</v>
      </c>
      <c r="C97" s="209">
        <v>0.9</v>
      </c>
      <c r="D97" s="33">
        <v>30</v>
      </c>
      <c r="E97" s="33">
        <v>2</v>
      </c>
      <c r="G97" s="42">
        <v>315.2</v>
      </c>
      <c r="H97" s="207">
        <v>120</v>
      </c>
    </row>
    <row r="98" spans="1:8" ht="14.45" x14ac:dyDescent="0.3">
      <c r="A98" s="26">
        <v>41456</v>
      </c>
      <c r="B98" s="208"/>
      <c r="C98" s="28">
        <v>0.9</v>
      </c>
      <c r="D98" s="33">
        <v>0</v>
      </c>
      <c r="E98" s="33">
        <v>0</v>
      </c>
      <c r="G98" s="42"/>
      <c r="H98" s="207">
        <v>120</v>
      </c>
    </row>
    <row r="99" spans="1:8" ht="14.45" x14ac:dyDescent="0.3">
      <c r="A99" s="26">
        <v>41487</v>
      </c>
      <c r="B99" s="208">
        <f t="shared" si="5"/>
        <v>0.2</v>
      </c>
      <c r="C99" s="209">
        <v>0.9</v>
      </c>
      <c r="D99" s="33">
        <v>10</v>
      </c>
      <c r="E99" s="33">
        <v>2</v>
      </c>
      <c r="G99" s="42">
        <v>214.8</v>
      </c>
      <c r="H99" s="207">
        <v>120</v>
      </c>
    </row>
    <row r="100" spans="1:8" ht="14.45" x14ac:dyDescent="0.3">
      <c r="A100" s="26">
        <v>41518</v>
      </c>
      <c r="B100" s="27">
        <f t="shared" si="5"/>
        <v>0.2</v>
      </c>
      <c r="C100" s="28">
        <v>0.9</v>
      </c>
      <c r="D100" s="33">
        <v>20</v>
      </c>
      <c r="E100" s="33">
        <v>4</v>
      </c>
      <c r="G100" s="42">
        <v>231.9</v>
      </c>
      <c r="H100" s="207">
        <v>120</v>
      </c>
    </row>
    <row r="101" spans="1:8" ht="14.45" x14ac:dyDescent="0.3">
      <c r="A101" s="26">
        <v>41548</v>
      </c>
      <c r="B101" s="208">
        <f t="shared" si="5"/>
        <v>0</v>
      </c>
      <c r="C101" s="209">
        <v>0.9</v>
      </c>
      <c r="D101" s="33">
        <v>3</v>
      </c>
      <c r="E101" s="33">
        <v>0</v>
      </c>
      <c r="G101" s="42">
        <v>511.5</v>
      </c>
      <c r="H101" s="207">
        <v>120</v>
      </c>
    </row>
    <row r="102" spans="1:8" ht="14.45" x14ac:dyDescent="0.3">
      <c r="A102" s="26">
        <v>41579</v>
      </c>
      <c r="B102" s="208">
        <f t="shared" si="5"/>
        <v>0</v>
      </c>
      <c r="C102" s="209">
        <v>0.9</v>
      </c>
      <c r="D102" s="33">
        <v>10</v>
      </c>
      <c r="E102" s="33">
        <v>0</v>
      </c>
      <c r="G102" s="42">
        <v>440.1</v>
      </c>
      <c r="H102" s="207">
        <v>120</v>
      </c>
    </row>
    <row r="103" spans="1:8" ht="14.45" x14ac:dyDescent="0.3">
      <c r="A103" s="26">
        <v>41609</v>
      </c>
      <c r="B103" s="208"/>
      <c r="C103" s="209">
        <v>0.9</v>
      </c>
      <c r="D103" s="33">
        <v>0</v>
      </c>
      <c r="E103" s="33">
        <v>0</v>
      </c>
      <c r="H103" s="207">
        <v>120</v>
      </c>
    </row>
    <row r="104" spans="1:8" s="207" customFormat="1" ht="14.45" x14ac:dyDescent="0.3">
      <c r="A104" s="26">
        <v>41640</v>
      </c>
      <c r="B104" s="208">
        <f t="shared" si="5"/>
        <v>0.25</v>
      </c>
      <c r="C104" s="209">
        <v>0.9</v>
      </c>
      <c r="D104" s="33">
        <v>8</v>
      </c>
      <c r="E104" s="33">
        <v>2</v>
      </c>
      <c r="G104" s="42">
        <v>309.10000000000002</v>
      </c>
      <c r="H104" s="207">
        <v>180</v>
      </c>
    </row>
    <row r="105" spans="1:8" s="207" customFormat="1" ht="14.45" x14ac:dyDescent="0.3">
      <c r="A105" s="26">
        <v>41671</v>
      </c>
      <c r="B105" s="208">
        <f t="shared" si="5"/>
        <v>8.3333333333333329E-2</v>
      </c>
      <c r="C105" s="209">
        <v>0.9</v>
      </c>
      <c r="D105" s="33">
        <v>12</v>
      </c>
      <c r="E105" s="33">
        <v>1</v>
      </c>
      <c r="G105" s="42">
        <v>395.6</v>
      </c>
      <c r="H105" s="207">
        <v>180</v>
      </c>
    </row>
    <row r="106" spans="1:8" s="207" customFormat="1" ht="14.45" x14ac:dyDescent="0.3">
      <c r="A106" s="26">
        <v>41699</v>
      </c>
      <c r="B106" s="208">
        <f t="shared" si="5"/>
        <v>0</v>
      </c>
      <c r="C106" s="209">
        <v>0.9</v>
      </c>
      <c r="D106" s="33">
        <v>15</v>
      </c>
      <c r="E106" s="33">
        <v>0</v>
      </c>
      <c r="G106" s="42">
        <v>317.10000000000002</v>
      </c>
      <c r="H106" s="207">
        <v>180</v>
      </c>
    </row>
    <row r="107" spans="1:8" s="207" customFormat="1" ht="14.45" x14ac:dyDescent="0.3">
      <c r="A107" s="26">
        <v>41730</v>
      </c>
      <c r="B107" s="208">
        <f t="shared" si="5"/>
        <v>0</v>
      </c>
      <c r="C107" s="209">
        <v>0.9</v>
      </c>
      <c r="D107" s="33">
        <v>8</v>
      </c>
      <c r="E107" s="33">
        <v>0</v>
      </c>
      <c r="G107" s="42">
        <v>278.60000000000002</v>
      </c>
      <c r="H107" s="207">
        <v>180</v>
      </c>
    </row>
    <row r="108" spans="1:8" s="207" customFormat="1" ht="14.45" x14ac:dyDescent="0.3">
      <c r="A108" s="26">
        <v>41760</v>
      </c>
      <c r="B108" s="208">
        <f t="shared" si="5"/>
        <v>0.22222222222222221</v>
      </c>
      <c r="C108" s="209">
        <v>0.9</v>
      </c>
      <c r="D108" s="33">
        <v>9</v>
      </c>
      <c r="E108" s="33">
        <v>2</v>
      </c>
      <c r="G108" s="42">
        <v>264.39999999999998</v>
      </c>
      <c r="H108" s="207">
        <v>180</v>
      </c>
    </row>
    <row r="109" spans="1:8" s="207" customFormat="1" ht="14.45" x14ac:dyDescent="0.3">
      <c r="A109" s="26">
        <v>41791</v>
      </c>
      <c r="B109" s="208">
        <f t="shared" si="5"/>
        <v>0</v>
      </c>
      <c r="C109" s="209">
        <v>0.9</v>
      </c>
      <c r="D109" s="33">
        <v>2</v>
      </c>
      <c r="E109" s="33">
        <v>0</v>
      </c>
      <c r="G109" s="42">
        <v>245</v>
      </c>
      <c r="H109" s="207">
        <v>180</v>
      </c>
    </row>
    <row r="110" spans="1:8" s="207" customFormat="1" ht="14.45" x14ac:dyDescent="0.3">
      <c r="A110" s="26">
        <v>41821</v>
      </c>
      <c r="B110" s="208">
        <f t="shared" si="5"/>
        <v>0</v>
      </c>
      <c r="C110" s="209">
        <v>0.9</v>
      </c>
      <c r="D110" s="33">
        <v>3</v>
      </c>
      <c r="E110" s="33">
        <v>0</v>
      </c>
      <c r="G110" s="42">
        <v>288.7</v>
      </c>
      <c r="H110" s="207">
        <v>180</v>
      </c>
    </row>
    <row r="111" spans="1:8" s="207" customFormat="1" ht="14.45" x14ac:dyDescent="0.3">
      <c r="A111" s="26">
        <v>41852</v>
      </c>
      <c r="B111" s="208">
        <f t="shared" si="5"/>
        <v>0.33333333333333331</v>
      </c>
      <c r="C111" s="209">
        <v>0.9</v>
      </c>
      <c r="D111" s="33">
        <v>9</v>
      </c>
      <c r="E111" s="33">
        <v>3</v>
      </c>
      <c r="G111" s="42">
        <v>225</v>
      </c>
      <c r="H111" s="207">
        <v>180</v>
      </c>
    </row>
    <row r="120" spans="1:5" s="207" customFormat="1" x14ac:dyDescent="0.25"/>
    <row r="121" spans="1:5" s="207" customFormat="1" x14ac:dyDescent="0.25"/>
    <row r="122" spans="1:5" s="207" customFormat="1" x14ac:dyDescent="0.25"/>
    <row r="123" spans="1:5" s="207" customFormat="1" x14ac:dyDescent="0.25"/>
    <row r="128" spans="1:5" ht="18.75" x14ac:dyDescent="0.3">
      <c r="A128" s="185" t="s">
        <v>361</v>
      </c>
      <c r="B128" s="31"/>
      <c r="D128" s="31"/>
      <c r="E128" s="31"/>
    </row>
    <row r="129" spans="1:21" ht="15.75" x14ac:dyDescent="0.25">
      <c r="A129" s="143" t="s">
        <v>385</v>
      </c>
      <c r="B129" s="143"/>
      <c r="C129" s="143"/>
      <c r="D129" s="143"/>
      <c r="E129" s="143"/>
      <c r="F129" s="143"/>
      <c r="G129" s="143"/>
    </row>
    <row r="130" spans="1:21" ht="47.25" customHeight="1" x14ac:dyDescent="0.25">
      <c r="A130" s="25" t="s">
        <v>72</v>
      </c>
      <c r="B130" s="31" t="s">
        <v>386</v>
      </c>
      <c r="C130" s="25" t="s">
        <v>6</v>
      </c>
      <c r="D130" s="31" t="s">
        <v>387</v>
      </c>
      <c r="E130" s="164" t="s">
        <v>388</v>
      </c>
      <c r="G130" s="31" t="s">
        <v>326</v>
      </c>
      <c r="H130" s="25" t="s">
        <v>368</v>
      </c>
    </row>
    <row r="131" spans="1:21" x14ac:dyDescent="0.25">
      <c r="A131" s="26">
        <v>41334</v>
      </c>
      <c r="B131" s="27">
        <f t="shared" ref="B131:B133" si="6">E131/D131</f>
        <v>1</v>
      </c>
      <c r="C131" s="28">
        <v>0.9</v>
      </c>
      <c r="D131" s="33">
        <v>10</v>
      </c>
      <c r="E131" s="33">
        <v>10</v>
      </c>
      <c r="G131" s="25">
        <v>28.5</v>
      </c>
      <c r="H131" s="25">
        <v>45</v>
      </c>
    </row>
    <row r="132" spans="1:21" x14ac:dyDescent="0.25">
      <c r="A132" s="26">
        <v>41365</v>
      </c>
      <c r="B132" s="27">
        <f t="shared" si="6"/>
        <v>0.625</v>
      </c>
      <c r="C132" s="28">
        <v>0.9</v>
      </c>
      <c r="D132" s="33">
        <v>16</v>
      </c>
      <c r="E132" s="33">
        <v>10</v>
      </c>
      <c r="G132" s="25">
        <v>46.6</v>
      </c>
      <c r="H132" s="25">
        <v>45</v>
      </c>
    </row>
    <row r="133" spans="1:21" x14ac:dyDescent="0.25">
      <c r="A133" s="26">
        <v>41395</v>
      </c>
      <c r="B133" s="208">
        <f t="shared" si="6"/>
        <v>0.8</v>
      </c>
      <c r="C133" s="28">
        <v>0.9</v>
      </c>
      <c r="D133" s="33">
        <v>5</v>
      </c>
      <c r="E133" s="33">
        <v>4</v>
      </c>
      <c r="G133" s="25">
        <v>53</v>
      </c>
      <c r="H133" s="25">
        <v>45</v>
      </c>
    </row>
    <row r="134" spans="1:21" x14ac:dyDescent="0.25">
      <c r="A134" s="26">
        <v>41426</v>
      </c>
      <c r="B134" s="208">
        <f t="shared" ref="B134:B145" si="7">E134/D134</f>
        <v>0.6</v>
      </c>
      <c r="C134" s="28">
        <v>0.9</v>
      </c>
      <c r="D134" s="33">
        <v>10</v>
      </c>
      <c r="E134" s="33">
        <v>6</v>
      </c>
      <c r="G134" s="207">
        <v>54</v>
      </c>
      <c r="H134" s="207">
        <v>45</v>
      </c>
    </row>
    <row r="135" spans="1:21" x14ac:dyDescent="0.25">
      <c r="A135" s="26">
        <v>41456</v>
      </c>
      <c r="B135" s="27">
        <f t="shared" si="7"/>
        <v>0.33333333333333331</v>
      </c>
      <c r="C135" s="209">
        <v>0.9</v>
      </c>
      <c r="D135" s="33">
        <v>9</v>
      </c>
      <c r="E135" s="33">
        <v>3</v>
      </c>
      <c r="G135" s="207">
        <v>89</v>
      </c>
      <c r="H135" s="207">
        <v>45</v>
      </c>
    </row>
    <row r="136" spans="1:21" x14ac:dyDescent="0.25">
      <c r="A136" s="26">
        <v>41487</v>
      </c>
      <c r="B136" s="27">
        <f t="shared" si="7"/>
        <v>0.4375</v>
      </c>
      <c r="C136" s="209">
        <v>0.9</v>
      </c>
      <c r="D136" s="33">
        <v>16</v>
      </c>
      <c r="E136" s="33">
        <v>7</v>
      </c>
      <c r="G136" s="207">
        <v>95</v>
      </c>
      <c r="H136" s="207">
        <v>45</v>
      </c>
      <c r="U136" s="207"/>
    </row>
    <row r="137" spans="1:21" x14ac:dyDescent="0.25">
      <c r="A137" s="26">
        <v>41518</v>
      </c>
      <c r="B137" s="27">
        <f t="shared" si="7"/>
        <v>0.66666666666666663</v>
      </c>
      <c r="C137" s="28">
        <v>0.9</v>
      </c>
      <c r="D137" s="33">
        <v>9</v>
      </c>
      <c r="E137" s="33">
        <v>6</v>
      </c>
      <c r="G137" s="207">
        <v>41</v>
      </c>
      <c r="H137" s="207">
        <v>45</v>
      </c>
      <c r="U137" s="207"/>
    </row>
    <row r="138" spans="1:21" x14ac:dyDescent="0.25">
      <c r="A138" s="26">
        <v>41548</v>
      </c>
      <c r="B138" s="208">
        <f t="shared" si="7"/>
        <v>0.5</v>
      </c>
      <c r="C138" s="209">
        <v>0.9</v>
      </c>
      <c r="D138" s="33">
        <v>6</v>
      </c>
      <c r="E138" s="33">
        <v>3</v>
      </c>
      <c r="G138" s="207">
        <v>74</v>
      </c>
      <c r="H138" s="207">
        <v>45</v>
      </c>
      <c r="U138" s="207"/>
    </row>
    <row r="139" spans="1:21" ht="12" customHeight="1" x14ac:dyDescent="0.25">
      <c r="A139" s="26">
        <v>41579</v>
      </c>
      <c r="B139" s="208">
        <f t="shared" si="7"/>
        <v>0.72727272727272729</v>
      </c>
      <c r="C139" s="209">
        <v>0.9</v>
      </c>
      <c r="D139" s="33">
        <v>11</v>
      </c>
      <c r="E139" s="33">
        <v>8</v>
      </c>
      <c r="G139" s="207">
        <v>42</v>
      </c>
      <c r="H139" s="207">
        <v>45</v>
      </c>
      <c r="U139" s="207"/>
    </row>
    <row r="140" spans="1:21" x14ac:dyDescent="0.25">
      <c r="A140" s="26">
        <v>41609</v>
      </c>
      <c r="B140" s="208">
        <f t="shared" si="7"/>
        <v>0.25</v>
      </c>
      <c r="C140" s="209">
        <v>0.9</v>
      </c>
      <c r="D140" s="33">
        <v>4</v>
      </c>
      <c r="E140" s="33">
        <v>1</v>
      </c>
      <c r="G140" s="207">
        <v>62</v>
      </c>
      <c r="H140" s="207">
        <v>45</v>
      </c>
      <c r="U140" s="207"/>
    </row>
    <row r="141" spans="1:21" s="207" customFormat="1" x14ac:dyDescent="0.25">
      <c r="A141" s="26">
        <v>41640</v>
      </c>
      <c r="B141" s="208">
        <f t="shared" si="7"/>
        <v>0.375</v>
      </c>
      <c r="C141" s="209">
        <v>0.9</v>
      </c>
      <c r="D141" s="33">
        <v>8</v>
      </c>
      <c r="E141" s="33">
        <v>3</v>
      </c>
      <c r="G141" s="207">
        <v>81</v>
      </c>
      <c r="H141" s="207">
        <v>45</v>
      </c>
    </row>
    <row r="142" spans="1:21" x14ac:dyDescent="0.25">
      <c r="A142" s="26">
        <v>41671</v>
      </c>
      <c r="B142" s="208">
        <f t="shared" si="7"/>
        <v>0.63636363636363635</v>
      </c>
      <c r="C142" s="209">
        <v>0.9</v>
      </c>
      <c r="D142" s="33">
        <v>11</v>
      </c>
      <c r="E142" s="33">
        <v>7</v>
      </c>
      <c r="G142" s="207">
        <v>50</v>
      </c>
      <c r="H142" s="207">
        <v>45</v>
      </c>
      <c r="U142" s="207"/>
    </row>
    <row r="143" spans="1:21" s="207" customFormat="1" x14ac:dyDescent="0.25">
      <c r="A143" s="26">
        <v>41699</v>
      </c>
      <c r="B143" s="208">
        <f t="shared" si="7"/>
        <v>0.66666666666666663</v>
      </c>
      <c r="C143" s="209">
        <v>0.9</v>
      </c>
      <c r="D143" s="33">
        <v>9</v>
      </c>
      <c r="E143" s="33">
        <v>6</v>
      </c>
      <c r="G143" s="207">
        <v>58</v>
      </c>
      <c r="H143" s="207">
        <v>45</v>
      </c>
    </row>
    <row r="144" spans="1:21" s="207" customFormat="1" x14ac:dyDescent="0.25">
      <c r="A144" s="26">
        <v>41730</v>
      </c>
      <c r="B144" s="208">
        <f t="shared" si="7"/>
        <v>0.77777777777777779</v>
      </c>
      <c r="C144" s="209">
        <v>0.9</v>
      </c>
      <c r="D144" s="33">
        <v>9</v>
      </c>
      <c r="E144" s="33">
        <v>7</v>
      </c>
      <c r="G144" s="207">
        <v>28</v>
      </c>
      <c r="H144" s="207">
        <v>45</v>
      </c>
    </row>
    <row r="145" spans="1:21" s="207" customFormat="1" x14ac:dyDescent="0.25">
      <c r="A145" s="26">
        <v>41760</v>
      </c>
      <c r="B145" s="208">
        <f t="shared" si="7"/>
        <v>0.8571428571428571</v>
      </c>
      <c r="C145" s="209">
        <v>0.9</v>
      </c>
      <c r="D145" s="33">
        <v>7</v>
      </c>
      <c r="E145" s="33">
        <v>6</v>
      </c>
      <c r="G145" s="207">
        <v>38</v>
      </c>
      <c r="H145" s="207">
        <v>45</v>
      </c>
    </row>
    <row r="146" spans="1:21" x14ac:dyDescent="0.25">
      <c r="A146" s="26">
        <v>41791</v>
      </c>
      <c r="B146" s="208">
        <f t="shared" ref="B146:B148" si="8">E146/D146</f>
        <v>0.75</v>
      </c>
      <c r="C146" s="209">
        <v>0.9</v>
      </c>
      <c r="D146" s="33">
        <v>8</v>
      </c>
      <c r="E146" s="33">
        <v>6</v>
      </c>
      <c r="F146" s="207"/>
      <c r="G146" s="207">
        <v>34</v>
      </c>
      <c r="H146" s="207">
        <v>45</v>
      </c>
      <c r="U146" s="207"/>
    </row>
    <row r="147" spans="1:21" s="207" customFormat="1" x14ac:dyDescent="0.25">
      <c r="A147" s="26">
        <v>41821</v>
      </c>
      <c r="B147" s="208">
        <f t="shared" si="8"/>
        <v>0.5714285714285714</v>
      </c>
      <c r="C147" s="209">
        <v>0.9</v>
      </c>
      <c r="D147" s="33">
        <v>7</v>
      </c>
      <c r="E147" s="33">
        <v>4</v>
      </c>
      <c r="G147" s="207">
        <v>50</v>
      </c>
      <c r="H147" s="207">
        <v>45</v>
      </c>
    </row>
    <row r="148" spans="1:21" s="207" customFormat="1" x14ac:dyDescent="0.25">
      <c r="A148" s="26">
        <v>41852</v>
      </c>
      <c r="B148" s="208">
        <f t="shared" si="8"/>
        <v>0.45454545454545453</v>
      </c>
      <c r="C148" s="209">
        <v>0.9</v>
      </c>
      <c r="D148" s="33">
        <v>11</v>
      </c>
      <c r="E148" s="33">
        <v>5</v>
      </c>
      <c r="G148" s="207">
        <v>50</v>
      </c>
      <c r="H148" s="207">
        <v>45</v>
      </c>
    </row>
    <row r="149" spans="1:21" x14ac:dyDescent="0.25">
      <c r="A149" s="26"/>
      <c r="U149" s="207"/>
    </row>
    <row r="150" spans="1:21" x14ac:dyDescent="0.25">
      <c r="A150" s="26"/>
      <c r="U150" s="207"/>
    </row>
    <row r="151" spans="1:21" x14ac:dyDescent="0.25">
      <c r="A151" s="26"/>
      <c r="U151" s="207"/>
    </row>
    <row r="152" spans="1:21" x14ac:dyDescent="0.25">
      <c r="A152" s="26"/>
      <c r="U152" s="207"/>
    </row>
    <row r="153" spans="1:21" x14ac:dyDescent="0.25">
      <c r="A153" s="26"/>
      <c r="U153" s="207"/>
    </row>
    <row r="154" spans="1:21" x14ac:dyDescent="0.25">
      <c r="A154" s="26"/>
    </row>
    <row r="155" spans="1:21" x14ac:dyDescent="0.25">
      <c r="A155" s="26"/>
    </row>
    <row r="156" spans="1:21" x14ac:dyDescent="0.25">
      <c r="A156" s="26"/>
    </row>
    <row r="157" spans="1:21" x14ac:dyDescent="0.25">
      <c r="A157" s="26"/>
    </row>
    <row r="158" spans="1:21" x14ac:dyDescent="0.25">
      <c r="A158" s="26"/>
    </row>
  </sheetData>
  <pageMargins left="0.25" right="0.25" top="0.75" bottom="0.75" header="0.3" footer="0.3"/>
  <pageSetup paperSize="5" scale="61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9"/>
  <sheetViews>
    <sheetView topLeftCell="A25" workbookViewId="0">
      <selection activeCell="F69" sqref="F69"/>
    </sheetView>
  </sheetViews>
  <sheetFormatPr defaultColWidth="9.140625" defaultRowHeight="15" x14ac:dyDescent="0.25"/>
  <cols>
    <col min="1" max="1" width="9.7109375" style="25" bestFit="1" customWidth="1"/>
    <col min="2" max="2" width="11.140625" style="25" customWidth="1"/>
    <col min="3" max="3" width="9.140625" style="25"/>
    <col min="4" max="4" width="14.28515625" style="25" customWidth="1"/>
    <col min="5" max="5" width="10.140625" style="25" customWidth="1"/>
    <col min="6" max="6" width="12" style="25" customWidth="1"/>
    <col min="7" max="16384" width="9.140625" style="25"/>
  </cols>
  <sheetData>
    <row r="2" spans="1:6" ht="14.45" x14ac:dyDescent="0.3">
      <c r="A2" s="25" t="s">
        <v>44</v>
      </c>
    </row>
    <row r="3" spans="1:6" ht="47.25" customHeight="1" x14ac:dyDescent="0.3">
      <c r="B3" s="31" t="s">
        <v>45</v>
      </c>
      <c r="C3" s="25" t="s">
        <v>6</v>
      </c>
      <c r="D3" s="31" t="s">
        <v>46</v>
      </c>
      <c r="E3" s="31" t="s">
        <v>48</v>
      </c>
      <c r="F3" s="31" t="s">
        <v>49</v>
      </c>
    </row>
    <row r="4" spans="1:6" ht="14.45" x14ac:dyDescent="0.3">
      <c r="A4" s="26">
        <v>40878</v>
      </c>
      <c r="B4" s="27">
        <f t="shared" ref="B4:B14" si="0">F4/E4</f>
        <v>0.82999999999999985</v>
      </c>
      <c r="C4" s="28">
        <v>0.9</v>
      </c>
      <c r="D4" s="28">
        <f>1-B4</f>
        <v>0.17000000000000015</v>
      </c>
      <c r="E4" s="32">
        <v>40</v>
      </c>
      <c r="F4" s="33">
        <f>E4*0.83</f>
        <v>33.199999999999996</v>
      </c>
    </row>
    <row r="5" spans="1:6" ht="14.45" x14ac:dyDescent="0.3">
      <c r="A5" s="26">
        <v>40909</v>
      </c>
      <c r="B5" s="27">
        <f t="shared" si="0"/>
        <v>0.75555555555555554</v>
      </c>
      <c r="C5" s="28">
        <v>0.9</v>
      </c>
      <c r="D5" s="28">
        <f>1-B5</f>
        <v>0.24444444444444446</v>
      </c>
      <c r="E5" s="33">
        <v>45</v>
      </c>
      <c r="F5" s="33">
        <v>34</v>
      </c>
    </row>
    <row r="6" spans="1:6" ht="14.45" x14ac:dyDescent="0.3">
      <c r="A6" s="26">
        <v>40940</v>
      </c>
      <c r="B6" s="27">
        <f t="shared" si="0"/>
        <v>0.93846153846153846</v>
      </c>
      <c r="C6" s="28">
        <v>0.9</v>
      </c>
      <c r="D6" s="28">
        <f t="shared" ref="D6:D14" si="1">1-B6</f>
        <v>6.1538461538461542E-2</v>
      </c>
      <c r="E6" s="33">
        <f>75+41+14</f>
        <v>130</v>
      </c>
      <c r="F6" s="33">
        <f>14+35+73</f>
        <v>122</v>
      </c>
    </row>
    <row r="7" spans="1:6" ht="14.45" x14ac:dyDescent="0.3">
      <c r="A7" s="26">
        <v>40969</v>
      </c>
      <c r="B7" s="27">
        <f t="shared" si="0"/>
        <v>0.88524590163934425</v>
      </c>
      <c r="C7" s="28">
        <v>0.9</v>
      </c>
      <c r="D7" s="28">
        <f t="shared" si="1"/>
        <v>0.11475409836065575</v>
      </c>
      <c r="E7" s="33">
        <f>61+43+18</f>
        <v>122</v>
      </c>
      <c r="F7" s="33">
        <f>122-14</f>
        <v>108</v>
      </c>
    </row>
    <row r="8" spans="1:6" ht="14.45" x14ac:dyDescent="0.3">
      <c r="A8" s="26">
        <v>41000</v>
      </c>
      <c r="B8" s="27">
        <f t="shared" si="0"/>
        <v>0.97222222222222221</v>
      </c>
      <c r="C8" s="28">
        <v>0.9</v>
      </c>
      <c r="D8" s="28">
        <f t="shared" si="1"/>
        <v>2.777777777777779E-2</v>
      </c>
      <c r="E8" s="33">
        <f>11+14+47</f>
        <v>72</v>
      </c>
      <c r="F8" s="33">
        <v>70</v>
      </c>
    </row>
    <row r="9" spans="1:6" ht="14.45" x14ac:dyDescent="0.3">
      <c r="A9" s="26">
        <v>41030</v>
      </c>
      <c r="B9" s="27">
        <f t="shared" si="0"/>
        <v>0.66666666666666663</v>
      </c>
      <c r="C9" s="28">
        <v>0.9</v>
      </c>
      <c r="D9" s="28">
        <f t="shared" si="1"/>
        <v>0.33333333333333337</v>
      </c>
      <c r="E9" s="33">
        <f>16+50+69</f>
        <v>135</v>
      </c>
      <c r="F9" s="33">
        <f>66+24</f>
        <v>90</v>
      </c>
    </row>
    <row r="10" spans="1:6" ht="14.45" x14ac:dyDescent="0.3">
      <c r="A10" s="26">
        <v>41061</v>
      </c>
      <c r="B10" s="27">
        <f t="shared" si="0"/>
        <v>0.8910891089108911</v>
      </c>
      <c r="C10" s="28">
        <v>0.9</v>
      </c>
      <c r="D10" s="28">
        <f t="shared" si="1"/>
        <v>0.1089108910891089</v>
      </c>
      <c r="E10" s="33">
        <f>69+19+13</f>
        <v>101</v>
      </c>
      <c r="F10" s="33">
        <f>101-11</f>
        <v>90</v>
      </c>
    </row>
    <row r="11" spans="1:6" ht="14.45" x14ac:dyDescent="0.3">
      <c r="A11" s="26">
        <v>41091</v>
      </c>
      <c r="B11" s="27">
        <f t="shared" si="0"/>
        <v>0.94736842105263153</v>
      </c>
      <c r="C11" s="28">
        <v>0.9</v>
      </c>
      <c r="D11" s="28">
        <f t="shared" si="1"/>
        <v>5.2631578947368474E-2</v>
      </c>
      <c r="E11" s="33">
        <f>68+31+15</f>
        <v>114</v>
      </c>
      <c r="F11" s="33">
        <f>114-6</f>
        <v>108</v>
      </c>
    </row>
    <row r="12" spans="1:6" ht="14.45" x14ac:dyDescent="0.3">
      <c r="A12" s="26">
        <v>41122</v>
      </c>
      <c r="B12" s="27">
        <f t="shared" si="0"/>
        <v>0.74576271186440679</v>
      </c>
      <c r="C12" s="28">
        <v>0.9</v>
      </c>
      <c r="D12" s="28">
        <f t="shared" si="1"/>
        <v>0.25423728813559321</v>
      </c>
      <c r="E12" s="33">
        <v>177</v>
      </c>
      <c r="F12" s="33">
        <f>177-45</f>
        <v>132</v>
      </c>
    </row>
    <row r="13" spans="1:6" ht="14.45" x14ac:dyDescent="0.3">
      <c r="A13" s="26">
        <v>41153</v>
      </c>
      <c r="B13" s="27">
        <f t="shared" si="0"/>
        <v>0.88</v>
      </c>
      <c r="C13" s="28">
        <v>0.9</v>
      </c>
      <c r="D13" s="28">
        <f t="shared" si="1"/>
        <v>0.12</v>
      </c>
      <c r="E13" s="33">
        <v>50</v>
      </c>
      <c r="F13" s="33">
        <f>50-6</f>
        <v>44</v>
      </c>
    </row>
    <row r="14" spans="1:6" ht="14.45" x14ac:dyDescent="0.3">
      <c r="A14" s="26">
        <v>41183</v>
      </c>
      <c r="B14" s="27">
        <f t="shared" si="0"/>
        <v>0.91538461538461535</v>
      </c>
      <c r="C14" s="28">
        <v>0.9</v>
      </c>
      <c r="D14" s="28">
        <f t="shared" si="1"/>
        <v>8.4615384615384648E-2</v>
      </c>
      <c r="E14" s="33">
        <v>260</v>
      </c>
      <c r="F14" s="33">
        <f>260-22</f>
        <v>238</v>
      </c>
    </row>
    <row r="15" spans="1:6" ht="14.45" x14ac:dyDescent="0.3">
      <c r="A15" s="26">
        <v>41214</v>
      </c>
      <c r="B15" s="27">
        <f t="shared" ref="B15" si="2">F15/E15</f>
        <v>0.83898305084745761</v>
      </c>
      <c r="C15" s="28">
        <v>0.9</v>
      </c>
      <c r="D15" s="28">
        <f t="shared" ref="D15:D16" si="3">1-B15</f>
        <v>0.16101694915254239</v>
      </c>
      <c r="E15" s="25">
        <f>96+96+44</f>
        <v>236</v>
      </c>
      <c r="F15" s="25">
        <f>236-2-4-32</f>
        <v>198</v>
      </c>
    </row>
    <row r="16" spans="1:6" ht="14.45" x14ac:dyDescent="0.3">
      <c r="A16" s="26">
        <v>41244</v>
      </c>
      <c r="B16" s="27">
        <f t="shared" ref="B16" si="4">F16/E16</f>
        <v>0.9662921348314607</v>
      </c>
      <c r="C16" s="28">
        <v>0.9</v>
      </c>
      <c r="D16" s="28">
        <f t="shared" si="3"/>
        <v>3.3707865168539297E-2</v>
      </c>
      <c r="E16" s="42">
        <f>49+84+45</f>
        <v>178</v>
      </c>
      <c r="F16" s="25">
        <v>172</v>
      </c>
    </row>
    <row r="17" spans="1:6" ht="14.45" x14ac:dyDescent="0.3">
      <c r="A17" s="26">
        <v>41275</v>
      </c>
      <c r="B17" s="27">
        <f t="shared" ref="B17:B25" si="5">F17/E17</f>
        <v>0.97637795275590555</v>
      </c>
      <c r="C17" s="28">
        <v>0.9</v>
      </c>
      <c r="D17" s="28">
        <f t="shared" ref="D17:D25" si="6">1-B17</f>
        <v>2.3622047244094446E-2</v>
      </c>
      <c r="E17" s="42">
        <v>127</v>
      </c>
      <c r="F17" s="25">
        <v>124</v>
      </c>
    </row>
    <row r="18" spans="1:6" ht="14.45" x14ac:dyDescent="0.3">
      <c r="A18" s="26">
        <v>41306</v>
      </c>
      <c r="B18" s="208">
        <f t="shared" si="5"/>
        <v>0.77222222222222225</v>
      </c>
      <c r="C18" s="28">
        <v>0.9</v>
      </c>
      <c r="D18" s="209">
        <f t="shared" si="6"/>
        <v>0.22777777777777775</v>
      </c>
      <c r="E18" s="207">
        <v>180</v>
      </c>
      <c r="F18" s="207">
        <v>139</v>
      </c>
    </row>
    <row r="19" spans="1:6" ht="14.45" x14ac:dyDescent="0.3">
      <c r="A19" s="26">
        <v>41334</v>
      </c>
      <c r="B19" s="208">
        <f t="shared" si="5"/>
        <v>0.64661654135338342</v>
      </c>
      <c r="C19" s="28">
        <v>0.9</v>
      </c>
      <c r="D19" s="209">
        <f t="shared" si="6"/>
        <v>0.35338345864661658</v>
      </c>
      <c r="E19" s="207">
        <v>133</v>
      </c>
      <c r="F19" s="207">
        <v>86</v>
      </c>
    </row>
    <row r="20" spans="1:6" ht="14.45" x14ac:dyDescent="0.3">
      <c r="A20" s="26">
        <v>41365</v>
      </c>
      <c r="B20" s="208">
        <f t="shared" si="5"/>
        <v>0.57396449704142016</v>
      </c>
      <c r="C20" s="28">
        <v>0.9</v>
      </c>
      <c r="D20" s="209">
        <f t="shared" si="6"/>
        <v>0.42603550295857984</v>
      </c>
      <c r="E20" s="207">
        <v>169</v>
      </c>
      <c r="F20" s="207">
        <v>97</v>
      </c>
    </row>
    <row r="21" spans="1:6" ht="14.45" x14ac:dyDescent="0.3">
      <c r="A21" s="26">
        <v>41395</v>
      </c>
      <c r="B21" s="208">
        <f t="shared" si="5"/>
        <v>0.89570552147239269</v>
      </c>
      <c r="C21" s="209">
        <v>0.9</v>
      </c>
      <c r="D21" s="209">
        <f t="shared" si="6"/>
        <v>0.10429447852760731</v>
      </c>
      <c r="E21" s="25">
        <f>63+71+29</f>
        <v>163</v>
      </c>
      <c r="F21" s="25">
        <f>163-3-9-5</f>
        <v>146</v>
      </c>
    </row>
    <row r="22" spans="1:6" ht="14.45" x14ac:dyDescent="0.3">
      <c r="A22" s="26">
        <v>41426</v>
      </c>
      <c r="B22" s="208">
        <f t="shared" si="5"/>
        <v>0.8828125</v>
      </c>
      <c r="C22" s="209">
        <v>0.9</v>
      </c>
      <c r="D22" s="209">
        <f t="shared" si="6"/>
        <v>0.1171875</v>
      </c>
      <c r="E22" s="25">
        <f>14+43+71</f>
        <v>128</v>
      </c>
      <c r="F22" s="25">
        <f>128-15</f>
        <v>113</v>
      </c>
    </row>
    <row r="23" spans="1:6" ht="14.45" x14ac:dyDescent="0.3">
      <c r="A23" s="26">
        <v>41456</v>
      </c>
      <c r="B23" s="208">
        <f t="shared" si="5"/>
        <v>0.77027027027027029</v>
      </c>
      <c r="C23" s="209">
        <v>0.9</v>
      </c>
      <c r="D23" s="209">
        <f t="shared" si="6"/>
        <v>0.22972972972972971</v>
      </c>
      <c r="E23" s="25">
        <f>78+32+38</f>
        <v>148</v>
      </c>
      <c r="F23" s="25">
        <f>148-27-1-6</f>
        <v>114</v>
      </c>
    </row>
    <row r="24" spans="1:6" ht="14.45" x14ac:dyDescent="0.3">
      <c r="A24" s="26">
        <v>41487</v>
      </c>
      <c r="B24" s="208">
        <f t="shared" si="5"/>
        <v>0.69426751592356684</v>
      </c>
      <c r="C24" s="209">
        <v>0.9</v>
      </c>
      <c r="D24" s="209">
        <f t="shared" si="6"/>
        <v>0.30573248407643316</v>
      </c>
      <c r="E24" s="207">
        <f>87+53+17</f>
        <v>157</v>
      </c>
      <c r="F24" s="207">
        <f>157-28-14-6</f>
        <v>109</v>
      </c>
    </row>
    <row r="25" spans="1:6" ht="14.45" x14ac:dyDescent="0.3">
      <c r="A25" s="26">
        <v>41518</v>
      </c>
      <c r="B25" s="208">
        <f t="shared" si="5"/>
        <v>0.66666666666666663</v>
      </c>
      <c r="C25" s="209">
        <v>0.9</v>
      </c>
      <c r="D25" s="209">
        <f t="shared" si="6"/>
        <v>0.33333333333333337</v>
      </c>
      <c r="E25" s="207">
        <f>46+12+11</f>
        <v>69</v>
      </c>
      <c r="F25" s="207">
        <f>69-16-1-6</f>
        <v>46</v>
      </c>
    </row>
    <row r="26" spans="1:6" ht="14.45" x14ac:dyDescent="0.3">
      <c r="A26" s="26">
        <v>41548</v>
      </c>
      <c r="B26" s="208">
        <f t="shared" ref="B26:B28" si="7">F26/E26</f>
        <v>0.64814814814814814</v>
      </c>
      <c r="C26" s="209">
        <v>0.9</v>
      </c>
      <c r="D26" s="209">
        <f t="shared" ref="D26:D28" si="8">1-B26</f>
        <v>0.35185185185185186</v>
      </c>
      <c r="E26" s="207">
        <v>162</v>
      </c>
      <c r="F26" s="207">
        <f>162-57</f>
        <v>105</v>
      </c>
    </row>
    <row r="27" spans="1:6" ht="14.45" x14ac:dyDescent="0.3">
      <c r="A27" s="26">
        <v>41579</v>
      </c>
      <c r="B27" s="208">
        <f t="shared" si="7"/>
        <v>0.85555555555555551</v>
      </c>
      <c r="C27" s="209">
        <v>0.9</v>
      </c>
      <c r="D27" s="209">
        <f t="shared" si="8"/>
        <v>0.14444444444444449</v>
      </c>
      <c r="E27" s="207">
        <f>90</f>
        <v>90</v>
      </c>
      <c r="F27" s="207">
        <f>90-13</f>
        <v>77</v>
      </c>
    </row>
    <row r="28" spans="1:6" s="207" customFormat="1" ht="14.45" x14ac:dyDescent="0.3">
      <c r="A28" s="26">
        <v>41609</v>
      </c>
      <c r="B28" s="208">
        <f t="shared" si="7"/>
        <v>0.68484848484848482</v>
      </c>
      <c r="C28" s="209">
        <v>0.9</v>
      </c>
      <c r="D28" s="209">
        <f t="shared" si="8"/>
        <v>0.31515151515151518</v>
      </c>
      <c r="E28" s="207">
        <v>165</v>
      </c>
      <c r="F28" s="207">
        <f>165-52</f>
        <v>113</v>
      </c>
    </row>
    <row r="29" spans="1:6" s="207" customFormat="1" ht="14.45" x14ac:dyDescent="0.3">
      <c r="A29" s="26">
        <v>41640</v>
      </c>
      <c r="B29" s="208">
        <f t="shared" ref="B29" si="9">F29/E29</f>
        <v>0.72268907563025209</v>
      </c>
      <c r="C29" s="209">
        <v>0.9</v>
      </c>
      <c r="D29" s="209">
        <f t="shared" ref="D29" si="10">1-B29</f>
        <v>0.27731092436974791</v>
      </c>
      <c r="E29" s="207">
        <f>17+41+61</f>
        <v>119</v>
      </c>
      <c r="F29" s="207">
        <f>119-21-1-11</f>
        <v>86</v>
      </c>
    </row>
    <row r="30" spans="1:6" s="207" customFormat="1" ht="14.45" x14ac:dyDescent="0.3">
      <c r="A30" s="26">
        <v>41671</v>
      </c>
      <c r="B30" s="208">
        <f t="shared" ref="B30" si="11">F30/E30</f>
        <v>0.967741935483871</v>
      </c>
      <c r="C30" s="209">
        <v>0.9</v>
      </c>
      <c r="D30" s="209">
        <f t="shared" ref="D30" si="12">1-B30</f>
        <v>3.2258064516129004E-2</v>
      </c>
      <c r="E30" s="207">
        <v>217</v>
      </c>
      <c r="F30" s="207">
        <f>217-7</f>
        <v>210</v>
      </c>
    </row>
    <row r="31" spans="1:6" s="207" customFormat="1" ht="14.45" x14ac:dyDescent="0.3">
      <c r="A31" s="26">
        <v>41699</v>
      </c>
      <c r="B31" s="208">
        <f t="shared" ref="B31" si="13">F31/E31</f>
        <v>0.82914572864321612</v>
      </c>
      <c r="C31" s="209">
        <v>0.9</v>
      </c>
      <c r="D31" s="209">
        <f t="shared" ref="D31" si="14">1-B31</f>
        <v>0.17085427135678388</v>
      </c>
      <c r="E31" s="207">
        <f>108+65+26</f>
        <v>199</v>
      </c>
      <c r="F31" s="207">
        <f>199-26-8</f>
        <v>165</v>
      </c>
    </row>
    <row r="32" spans="1:6" s="207" customFormat="1" ht="14.45" x14ac:dyDescent="0.3">
      <c r="A32" s="26">
        <v>41730</v>
      </c>
      <c r="B32" s="208">
        <f t="shared" ref="B32:B34" si="15">F32/E32</f>
        <v>0.91719745222929938</v>
      </c>
      <c r="C32" s="209">
        <v>0.9</v>
      </c>
      <c r="D32" s="209">
        <f t="shared" ref="D32:D34" si="16">1-B32</f>
        <v>8.2802547770700619E-2</v>
      </c>
      <c r="E32" s="207">
        <f>66+19+72</f>
        <v>157</v>
      </c>
      <c r="F32" s="207">
        <f>157-9-2-2</f>
        <v>144</v>
      </c>
    </row>
    <row r="33" spans="1:6" s="207" customFormat="1" ht="14.45" x14ac:dyDescent="0.3">
      <c r="A33" s="26">
        <v>41760</v>
      </c>
      <c r="B33" s="208">
        <f t="shared" si="15"/>
        <v>0.87619047619047619</v>
      </c>
      <c r="C33" s="209">
        <v>0.9</v>
      </c>
      <c r="D33" s="209">
        <f t="shared" si="16"/>
        <v>0.12380952380952381</v>
      </c>
      <c r="E33" s="207">
        <f>16+82+112</f>
        <v>210</v>
      </c>
      <c r="F33" s="207">
        <f>210-26</f>
        <v>184</v>
      </c>
    </row>
    <row r="34" spans="1:6" s="207" customFormat="1" ht="14.45" x14ac:dyDescent="0.3">
      <c r="A34" s="26">
        <v>41791</v>
      </c>
      <c r="B34" s="208">
        <f t="shared" si="15"/>
        <v>0.87128712871287128</v>
      </c>
      <c r="C34" s="209">
        <v>0.9</v>
      </c>
      <c r="D34" s="209">
        <f t="shared" si="16"/>
        <v>0.12871287128712872</v>
      </c>
      <c r="E34" s="207">
        <f>18+96+88</f>
        <v>202</v>
      </c>
      <c r="F34" s="207">
        <f>202-26</f>
        <v>176</v>
      </c>
    </row>
    <row r="35" spans="1:6" ht="14.45" x14ac:dyDescent="0.3">
      <c r="A35" s="26">
        <v>41821</v>
      </c>
      <c r="B35" s="208">
        <f t="shared" ref="B35" si="17">F35/E35</f>
        <v>0.88059701492537312</v>
      </c>
      <c r="C35" s="209">
        <v>0.9</v>
      </c>
      <c r="D35" s="209">
        <f t="shared" ref="D35" si="18">1-B35</f>
        <v>0.11940298507462688</v>
      </c>
      <c r="E35" s="25">
        <v>201</v>
      </c>
      <c r="F35" s="25">
        <f>201-24</f>
        <v>177</v>
      </c>
    </row>
    <row r="36" spans="1:6" s="207" customFormat="1" ht="14.45" x14ac:dyDescent="0.3">
      <c r="A36" s="26">
        <v>41852</v>
      </c>
      <c r="B36" s="208">
        <f t="shared" ref="B36" si="19">F36/E36</f>
        <v>0.81499999999999995</v>
      </c>
      <c r="C36" s="209">
        <v>0.9</v>
      </c>
      <c r="D36" s="209">
        <f t="shared" ref="D36" si="20">1-B36</f>
        <v>0.18500000000000005</v>
      </c>
      <c r="E36" s="207">
        <v>200</v>
      </c>
      <c r="F36" s="207">
        <v>163</v>
      </c>
    </row>
    <row r="37" spans="1:6" ht="14.45" x14ac:dyDescent="0.3">
      <c r="A37" s="25" t="s">
        <v>47</v>
      </c>
    </row>
    <row r="38" spans="1:6" ht="51.75" customHeight="1" x14ac:dyDescent="0.3">
      <c r="B38" s="31" t="s">
        <v>45</v>
      </c>
      <c r="C38" s="25" t="s">
        <v>6</v>
      </c>
      <c r="D38" s="31" t="s">
        <v>50</v>
      </c>
      <c r="E38" s="31" t="s">
        <v>48</v>
      </c>
      <c r="F38" s="31" t="s">
        <v>49</v>
      </c>
    </row>
    <row r="39" spans="1:6" ht="14.45" x14ac:dyDescent="0.3">
      <c r="A39" s="26">
        <v>40940</v>
      </c>
      <c r="B39" s="27">
        <f>1-D39</f>
        <v>1</v>
      </c>
      <c r="C39" s="28">
        <v>0.9</v>
      </c>
      <c r="D39" s="43">
        <f>(E39-F39)/E39</f>
        <v>0</v>
      </c>
      <c r="E39" s="42">
        <f>76+386+53</f>
        <v>515</v>
      </c>
      <c r="F39" s="44">
        <v>515</v>
      </c>
    </row>
    <row r="40" spans="1:6" ht="14.45" x14ac:dyDescent="0.3">
      <c r="A40" s="26">
        <v>40969</v>
      </c>
      <c r="B40" s="27">
        <f>1-D40</f>
        <v>0.99527559055118109</v>
      </c>
      <c r="C40" s="28">
        <v>0.9</v>
      </c>
      <c r="D40" s="43">
        <f>(E40-F40)/E40</f>
        <v>4.7244094488188976E-3</v>
      </c>
      <c r="E40" s="44">
        <v>635</v>
      </c>
      <c r="F40" s="42">
        <v>632</v>
      </c>
    </row>
    <row r="41" spans="1:6" ht="14.45" x14ac:dyDescent="0.3">
      <c r="A41" s="26">
        <v>41000</v>
      </c>
      <c r="B41" s="27">
        <f>1-D41</f>
        <v>1</v>
      </c>
      <c r="C41" s="28">
        <v>0.9</v>
      </c>
      <c r="D41" s="43">
        <f>(E41-F41)/E41</f>
        <v>0</v>
      </c>
      <c r="E41" s="42">
        <f>71+544+76</f>
        <v>691</v>
      </c>
      <c r="F41" s="42">
        <v>691</v>
      </c>
    </row>
    <row r="42" spans="1:6" ht="14.45" x14ac:dyDescent="0.3">
      <c r="A42" s="26">
        <v>41030</v>
      </c>
      <c r="B42" s="27">
        <f t="shared" ref="B42:B49" si="21">1-D42</f>
        <v>1</v>
      </c>
      <c r="C42" s="28">
        <v>0.9</v>
      </c>
      <c r="D42" s="43">
        <f>(E42-F42)/E42</f>
        <v>0</v>
      </c>
      <c r="E42" s="42">
        <f>69+591+99</f>
        <v>759</v>
      </c>
      <c r="F42" s="42">
        <v>759</v>
      </c>
    </row>
    <row r="43" spans="1:6" ht="14.45" x14ac:dyDescent="0.3">
      <c r="A43" s="26">
        <v>41061</v>
      </c>
      <c r="B43" s="27">
        <f t="shared" si="21"/>
        <v>1</v>
      </c>
      <c r="C43" s="28">
        <v>0.9</v>
      </c>
      <c r="D43" s="43">
        <f t="shared" ref="D43:D48" si="22">(E43-F43)/E43</f>
        <v>0</v>
      </c>
      <c r="E43" s="42">
        <f>75+495+79</f>
        <v>649</v>
      </c>
      <c r="F43" s="42">
        <v>649</v>
      </c>
    </row>
    <row r="44" spans="1:6" ht="14.45" x14ac:dyDescent="0.3">
      <c r="A44" s="26">
        <v>41091</v>
      </c>
      <c r="B44" s="27">
        <f t="shared" si="21"/>
        <v>0.99275362318840576</v>
      </c>
      <c r="C44" s="28">
        <v>0.9</v>
      </c>
      <c r="D44" s="43">
        <f t="shared" si="22"/>
        <v>7.246376811594203E-3</v>
      </c>
      <c r="E44" s="42">
        <v>690</v>
      </c>
      <c r="F44" s="42">
        <f>E44-5</f>
        <v>685</v>
      </c>
    </row>
    <row r="45" spans="1:6" ht="14.45" x14ac:dyDescent="0.3">
      <c r="A45" s="26">
        <v>41122</v>
      </c>
      <c r="B45" s="27">
        <f t="shared" si="21"/>
        <v>0.98024316109422494</v>
      </c>
      <c r="C45" s="28">
        <v>0.9</v>
      </c>
      <c r="D45" s="43">
        <f t="shared" si="22"/>
        <v>1.9756838905775075E-2</v>
      </c>
      <c r="E45" s="42">
        <f>69+549+40</f>
        <v>658</v>
      </c>
      <c r="F45" s="42">
        <f>E45-13</f>
        <v>645</v>
      </c>
    </row>
    <row r="46" spans="1:6" ht="14.45" x14ac:dyDescent="0.3">
      <c r="A46" s="26">
        <v>41153</v>
      </c>
      <c r="B46" s="27">
        <f t="shared" si="21"/>
        <v>0.98958333333333337</v>
      </c>
      <c r="C46" s="28">
        <v>0.9</v>
      </c>
      <c r="D46" s="43">
        <f t="shared" si="22"/>
        <v>1.0416666666666666E-2</v>
      </c>
      <c r="E46" s="42">
        <f>100+308+72</f>
        <v>480</v>
      </c>
      <c r="F46" s="42">
        <f>E46-5</f>
        <v>475</v>
      </c>
    </row>
    <row r="47" spans="1:6" ht="14.45" x14ac:dyDescent="0.3">
      <c r="A47" s="26">
        <v>41183</v>
      </c>
      <c r="B47" s="27">
        <f t="shared" si="21"/>
        <v>0.99765258215962438</v>
      </c>
      <c r="C47" s="28">
        <v>0.9</v>
      </c>
      <c r="D47" s="43">
        <f t="shared" si="22"/>
        <v>2.3474178403755869E-3</v>
      </c>
      <c r="E47" s="42">
        <f>135+234+57</f>
        <v>426</v>
      </c>
      <c r="F47" s="42">
        <v>425</v>
      </c>
    </row>
    <row r="48" spans="1:6" ht="14.45" x14ac:dyDescent="0.3">
      <c r="A48" s="26">
        <v>41214</v>
      </c>
      <c r="B48" s="27">
        <f t="shared" si="21"/>
        <v>0.98397435897435903</v>
      </c>
      <c r="C48" s="28">
        <v>0.9</v>
      </c>
      <c r="D48" s="43">
        <f t="shared" si="22"/>
        <v>1.6025641025641024E-2</v>
      </c>
      <c r="E48" s="42">
        <f>105+476+43</f>
        <v>624</v>
      </c>
      <c r="F48" s="42">
        <f>614</f>
        <v>614</v>
      </c>
    </row>
    <row r="49" spans="1:6" ht="14.45" x14ac:dyDescent="0.3">
      <c r="A49" s="26">
        <v>41244</v>
      </c>
      <c r="B49" s="27">
        <f t="shared" si="21"/>
        <v>0.98325358851674638</v>
      </c>
      <c r="C49" s="28">
        <v>0.9</v>
      </c>
      <c r="D49" s="43">
        <f t="shared" ref="D49" si="23">(E49-F49)/E49</f>
        <v>1.6746411483253589E-2</v>
      </c>
      <c r="E49" s="42">
        <f>27+304+87</f>
        <v>418</v>
      </c>
      <c r="F49" s="42">
        <v>411</v>
      </c>
    </row>
    <row r="50" spans="1:6" ht="14.45" x14ac:dyDescent="0.3">
      <c r="A50" s="26">
        <v>41275</v>
      </c>
      <c r="B50" s="27">
        <f t="shared" ref="B50:B58" si="24">1-D50</f>
        <v>0.98742138364779874</v>
      </c>
      <c r="C50" s="28">
        <v>0.9</v>
      </c>
      <c r="D50" s="43">
        <f t="shared" ref="D50:D53" si="25">(E50-F50)/E50</f>
        <v>1.2578616352201259E-2</v>
      </c>
      <c r="E50" s="42">
        <v>795</v>
      </c>
      <c r="F50" s="42">
        <v>785</v>
      </c>
    </row>
    <row r="51" spans="1:6" ht="14.45" x14ac:dyDescent="0.3">
      <c r="A51" s="26">
        <v>41306</v>
      </c>
      <c r="B51" s="27">
        <f t="shared" si="24"/>
        <v>0.98428571428571432</v>
      </c>
      <c r="C51" s="28">
        <v>0.9</v>
      </c>
      <c r="D51" s="43">
        <f t="shared" si="25"/>
        <v>1.5714285714285715E-2</v>
      </c>
      <c r="E51" s="42">
        <v>700</v>
      </c>
      <c r="F51" s="42">
        <f>700-11</f>
        <v>689</v>
      </c>
    </row>
    <row r="52" spans="1:6" ht="14.45" x14ac:dyDescent="0.3">
      <c r="A52" s="26">
        <v>41334</v>
      </c>
      <c r="B52" s="27">
        <f t="shared" si="24"/>
        <v>0.99656357388316152</v>
      </c>
      <c r="C52" s="28">
        <v>0.9</v>
      </c>
      <c r="D52" s="43">
        <f t="shared" si="25"/>
        <v>3.4364261168384879E-3</v>
      </c>
      <c r="E52" s="25">
        <v>582</v>
      </c>
      <c r="F52" s="25">
        <f>582-2</f>
        <v>580</v>
      </c>
    </row>
    <row r="53" spans="1:6" ht="14.45" x14ac:dyDescent="0.3">
      <c r="A53" s="26">
        <v>41365</v>
      </c>
      <c r="B53" s="27">
        <f t="shared" si="24"/>
        <v>0.96933560477001701</v>
      </c>
      <c r="C53" s="28">
        <v>0.9</v>
      </c>
      <c r="D53" s="43">
        <f t="shared" si="25"/>
        <v>3.0664395229982964E-2</v>
      </c>
      <c r="E53" s="42">
        <v>587</v>
      </c>
      <c r="F53" s="25">
        <f>587-18</f>
        <v>569</v>
      </c>
    </row>
    <row r="54" spans="1:6" ht="14.45" x14ac:dyDescent="0.3">
      <c r="A54" s="26">
        <v>41395</v>
      </c>
      <c r="B54" s="208">
        <f t="shared" si="24"/>
        <v>0.99484536082474229</v>
      </c>
      <c r="C54" s="209">
        <v>0.9</v>
      </c>
      <c r="D54" s="43">
        <f t="shared" ref="D54:D58" si="26">(E54-F54)/E54</f>
        <v>5.1546391752577319E-3</v>
      </c>
      <c r="E54" s="42">
        <f>104+594+78</f>
        <v>776</v>
      </c>
      <c r="F54" s="25">
        <f>776-4</f>
        <v>772</v>
      </c>
    </row>
    <row r="55" spans="1:6" ht="14.45" x14ac:dyDescent="0.3">
      <c r="A55" s="26">
        <v>41426</v>
      </c>
      <c r="B55" s="208">
        <f t="shared" si="24"/>
        <v>0.99717514124293782</v>
      </c>
      <c r="C55" s="209">
        <v>0.9</v>
      </c>
      <c r="D55" s="43">
        <f t="shared" si="26"/>
        <v>2.8248587570621469E-3</v>
      </c>
      <c r="E55" s="25">
        <f>13+313+28</f>
        <v>354</v>
      </c>
      <c r="F55" s="25">
        <v>353</v>
      </c>
    </row>
    <row r="56" spans="1:6" x14ac:dyDescent="0.25">
      <c r="A56" s="26">
        <v>41456</v>
      </c>
      <c r="B56" s="208">
        <f t="shared" si="24"/>
        <v>0.99567099567099571</v>
      </c>
      <c r="C56" s="209">
        <v>0.9</v>
      </c>
      <c r="D56" s="43">
        <f t="shared" si="26"/>
        <v>4.329004329004329E-3</v>
      </c>
      <c r="E56" s="207">
        <v>693</v>
      </c>
      <c r="F56" s="207">
        <f>693-3</f>
        <v>690</v>
      </c>
    </row>
    <row r="57" spans="1:6" x14ac:dyDescent="0.25">
      <c r="A57" s="26">
        <v>41487</v>
      </c>
      <c r="B57" s="208">
        <f t="shared" si="24"/>
        <v>0.99276672694394208</v>
      </c>
      <c r="C57" s="209">
        <v>0.9</v>
      </c>
      <c r="D57" s="43">
        <f t="shared" si="26"/>
        <v>7.2332730560578659E-3</v>
      </c>
      <c r="E57" s="207">
        <v>553</v>
      </c>
      <c r="F57" s="207">
        <f>553-4</f>
        <v>549</v>
      </c>
    </row>
    <row r="58" spans="1:6" x14ac:dyDescent="0.25">
      <c r="A58" s="26">
        <v>41518</v>
      </c>
      <c r="B58" s="208">
        <f t="shared" si="24"/>
        <v>0.9789719626168224</v>
      </c>
      <c r="C58" s="209">
        <v>0.9</v>
      </c>
      <c r="D58" s="43">
        <f t="shared" si="26"/>
        <v>2.1028037383177569E-2</v>
      </c>
      <c r="E58" s="207">
        <f>29+293+106</f>
        <v>428</v>
      </c>
      <c r="F58" s="207">
        <f>428-9</f>
        <v>419</v>
      </c>
    </row>
    <row r="59" spans="1:6" s="207" customFormat="1" x14ac:dyDescent="0.25">
      <c r="A59" s="26">
        <v>41548</v>
      </c>
      <c r="B59" s="208">
        <f t="shared" ref="B59:B61" si="27">1-D59</f>
        <v>0.96990740740740744</v>
      </c>
      <c r="C59" s="209">
        <v>0.9</v>
      </c>
      <c r="D59" s="43">
        <f t="shared" ref="D59:D61" si="28">(E59-F59)/E59</f>
        <v>3.0092592592592591E-2</v>
      </c>
      <c r="E59" s="207">
        <v>432</v>
      </c>
      <c r="F59" s="207">
        <f>432-13</f>
        <v>419</v>
      </c>
    </row>
    <row r="60" spans="1:6" s="207" customFormat="1" x14ac:dyDescent="0.25">
      <c r="A60" s="26">
        <v>41579</v>
      </c>
      <c r="B60" s="208">
        <f t="shared" si="27"/>
        <v>1</v>
      </c>
      <c r="C60" s="209">
        <v>0.9</v>
      </c>
      <c r="D60" s="43">
        <f t="shared" si="28"/>
        <v>0</v>
      </c>
      <c r="E60" s="207">
        <f>308</f>
        <v>308</v>
      </c>
      <c r="F60" s="207">
        <f>308-0</f>
        <v>308</v>
      </c>
    </row>
    <row r="61" spans="1:6" x14ac:dyDescent="0.25">
      <c r="A61" s="26">
        <v>41609</v>
      </c>
      <c r="B61" s="208">
        <f t="shared" si="27"/>
        <v>0.93922651933701662</v>
      </c>
      <c r="C61" s="209">
        <v>0.9</v>
      </c>
      <c r="D61" s="43">
        <f t="shared" si="28"/>
        <v>6.0773480662983423E-2</v>
      </c>
      <c r="E61" s="207">
        <v>362</v>
      </c>
      <c r="F61" s="25">
        <f>362-22</f>
        <v>340</v>
      </c>
    </row>
    <row r="62" spans="1:6" x14ac:dyDescent="0.25">
      <c r="A62" s="26">
        <v>41640</v>
      </c>
      <c r="B62" s="208">
        <f t="shared" ref="B62" si="29">1-D62</f>
        <v>1</v>
      </c>
      <c r="C62" s="209">
        <v>0.9</v>
      </c>
      <c r="D62" s="43">
        <f t="shared" ref="D62" si="30">(E62-F62)/E62</f>
        <v>0</v>
      </c>
      <c r="E62" s="25">
        <f>22+198+77</f>
        <v>297</v>
      </c>
      <c r="F62" s="25">
        <f>297-0</f>
        <v>297</v>
      </c>
    </row>
    <row r="63" spans="1:6" x14ac:dyDescent="0.25">
      <c r="A63" s="26">
        <v>41671</v>
      </c>
      <c r="B63" s="208">
        <f t="shared" ref="B63" si="31">1-D63</f>
        <v>0.97619047619047616</v>
      </c>
      <c r="C63" s="209">
        <v>0.9</v>
      </c>
      <c r="D63" s="43">
        <f t="shared" ref="D63" si="32">(E63-F63)/E63</f>
        <v>2.3809523809523808E-2</v>
      </c>
      <c r="E63" s="207">
        <f>34+225+77</f>
        <v>336</v>
      </c>
      <c r="F63" s="207">
        <f>336-8</f>
        <v>328</v>
      </c>
    </row>
    <row r="64" spans="1:6" x14ac:dyDescent="0.25">
      <c r="A64" s="26">
        <v>41699</v>
      </c>
      <c r="B64" s="208">
        <f t="shared" ref="B64" si="33">F64/E64</f>
        <v>0.98194945848375448</v>
      </c>
      <c r="C64" s="209">
        <v>0.9</v>
      </c>
      <c r="D64" s="209">
        <f t="shared" ref="D64" si="34">1-B64</f>
        <v>1.8050541516245522E-2</v>
      </c>
      <c r="E64" s="207">
        <f>28+344+182</f>
        <v>554</v>
      </c>
      <c r="F64" s="207">
        <f>554-10</f>
        <v>544</v>
      </c>
    </row>
    <row r="65" spans="1:6" x14ac:dyDescent="0.25">
      <c r="A65" s="26">
        <v>41730</v>
      </c>
      <c r="B65" s="208">
        <f t="shared" ref="B65" si="35">F65/E65</f>
        <v>1</v>
      </c>
      <c r="C65" s="209">
        <v>0.9</v>
      </c>
      <c r="D65" s="209">
        <f t="shared" ref="D65" si="36">1-B65</f>
        <v>0</v>
      </c>
      <c r="E65" s="207">
        <f>424+145+45</f>
        <v>614</v>
      </c>
      <c r="F65" s="207">
        <v>614</v>
      </c>
    </row>
    <row r="66" spans="1:6" x14ac:dyDescent="0.25">
      <c r="A66" s="26">
        <v>41760</v>
      </c>
      <c r="B66" s="208">
        <f t="shared" ref="B66:B67" si="37">F66/E66</f>
        <v>0.99437412095639943</v>
      </c>
      <c r="C66" s="209">
        <v>0.9</v>
      </c>
      <c r="D66" s="209">
        <f t="shared" ref="D66:D67" si="38">1-B66</f>
        <v>5.6258790436005679E-3</v>
      </c>
      <c r="E66" s="25">
        <f>145+536+30</f>
        <v>711</v>
      </c>
      <c r="F66" s="25">
        <f>711-3-1</f>
        <v>707</v>
      </c>
    </row>
    <row r="67" spans="1:6" x14ac:dyDescent="0.25">
      <c r="A67" s="26">
        <v>41791</v>
      </c>
      <c r="B67" s="208">
        <f t="shared" si="37"/>
        <v>1</v>
      </c>
      <c r="C67" s="209">
        <v>0.9</v>
      </c>
      <c r="D67" s="209">
        <f t="shared" si="38"/>
        <v>0</v>
      </c>
      <c r="E67" s="25">
        <f>69+376+153</f>
        <v>598</v>
      </c>
      <c r="F67" s="25">
        <f>598-0</f>
        <v>598</v>
      </c>
    </row>
    <row r="68" spans="1:6" x14ac:dyDescent="0.25">
      <c r="A68" s="26">
        <v>41821</v>
      </c>
      <c r="B68" s="208">
        <f t="shared" ref="B68" si="39">F68/E68</f>
        <v>1</v>
      </c>
      <c r="C68" s="209">
        <v>0.9</v>
      </c>
      <c r="D68" s="209">
        <f t="shared" ref="D68" si="40">1-B68</f>
        <v>0</v>
      </c>
      <c r="E68" s="25">
        <v>317</v>
      </c>
      <c r="F68" s="25">
        <v>317</v>
      </c>
    </row>
    <row r="69" spans="1:6" x14ac:dyDescent="0.25">
      <c r="A69" s="26">
        <v>41852</v>
      </c>
      <c r="B69" s="208">
        <f t="shared" ref="B69" si="41">F69/E69</f>
        <v>1</v>
      </c>
      <c r="C69" s="209">
        <v>0.9</v>
      </c>
      <c r="D69" s="209">
        <f t="shared" ref="D69" si="42">1-B69</f>
        <v>0</v>
      </c>
      <c r="E69" s="207">
        <f>123+387+48</f>
        <v>558</v>
      </c>
      <c r="F69" s="207">
        <v>558</v>
      </c>
    </row>
  </sheetData>
  <pageMargins left="0.25" right="0.25" top="0.75" bottom="0.75" header="0.3" footer="0.3"/>
  <pageSetup orientation="landscape" r:id="rId1"/>
  <ignoredErrors>
    <ignoredError sqref="F45" formula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zoomScale="90" zoomScaleNormal="90" workbookViewId="0">
      <selection activeCell="J22" sqref="J22"/>
    </sheetView>
  </sheetViews>
  <sheetFormatPr defaultRowHeight="15" x14ac:dyDescent="0.25"/>
  <cols>
    <col min="1" max="1" width="11.140625" customWidth="1"/>
    <col min="2" max="2" width="12.140625" style="29" customWidth="1"/>
    <col min="3" max="3" width="7.140625" style="29" customWidth="1"/>
    <col min="4" max="4" width="11.7109375" customWidth="1"/>
    <col min="5" max="5" width="12" customWidth="1"/>
    <col min="6" max="6" width="12.7109375" customWidth="1"/>
    <col min="7" max="7" width="11.7109375" customWidth="1"/>
    <col min="8" max="8" width="12.7109375" customWidth="1"/>
    <col min="9" max="9" width="6.28515625" customWidth="1"/>
    <col min="10" max="10" width="18.7109375" customWidth="1"/>
  </cols>
  <sheetData>
    <row r="2" spans="1:13" ht="15.6" x14ac:dyDescent="0.3">
      <c r="D2" s="82"/>
      <c r="E2" s="240" t="s">
        <v>481</v>
      </c>
      <c r="F2" s="241"/>
      <c r="G2" s="241"/>
      <c r="H2" s="242"/>
      <c r="I2" s="82"/>
      <c r="J2" s="68"/>
    </row>
    <row r="3" spans="1:13" ht="15.6" x14ac:dyDescent="0.3">
      <c r="D3" s="82"/>
      <c r="E3" s="288" t="s">
        <v>35</v>
      </c>
      <c r="F3" s="289"/>
      <c r="G3" s="288" t="s">
        <v>8</v>
      </c>
      <c r="H3" s="289"/>
      <c r="I3" s="82"/>
      <c r="J3" s="68"/>
    </row>
    <row r="4" spans="1:13" ht="46.9" x14ac:dyDescent="0.3">
      <c r="D4" s="87" t="s">
        <v>72</v>
      </c>
      <c r="E4" s="86" t="s">
        <v>31</v>
      </c>
      <c r="F4" s="85" t="s">
        <v>30</v>
      </c>
      <c r="G4" s="86" t="s">
        <v>29</v>
      </c>
      <c r="H4" s="85" t="s">
        <v>28</v>
      </c>
      <c r="I4" s="82"/>
      <c r="J4" s="243" t="s">
        <v>27</v>
      </c>
      <c r="K4" s="134"/>
      <c r="L4" s="134"/>
      <c r="M4" s="134"/>
    </row>
    <row r="5" spans="1:13" ht="15.6" x14ac:dyDescent="0.3">
      <c r="D5" s="83"/>
      <c r="E5" s="76"/>
      <c r="F5" s="83"/>
      <c r="G5" s="76"/>
      <c r="H5" s="83"/>
      <c r="I5" s="82"/>
      <c r="J5" s="76"/>
    </row>
    <row r="6" spans="1:13" ht="15.6" x14ac:dyDescent="0.3">
      <c r="A6" s="135">
        <v>1262105.7766666668</v>
      </c>
      <c r="B6" s="8">
        <f>A6/$A$18</f>
        <v>6.5147596268420316E-2</v>
      </c>
      <c r="C6" s="8"/>
      <c r="D6" s="68" t="s">
        <v>26</v>
      </c>
      <c r="E6" s="80">
        <f>B6*$E$19</f>
        <v>1335809.0503987879</v>
      </c>
      <c r="F6" s="80">
        <f>E6</f>
        <v>1335809.0503987879</v>
      </c>
      <c r="G6" s="135">
        <v>1636959.8333333333</v>
      </c>
      <c r="H6" s="136">
        <f>G6</f>
        <v>1636959.8333333333</v>
      </c>
      <c r="I6" s="77"/>
      <c r="J6" s="69">
        <f>+F6-H6</f>
        <v>-301150.78293454531</v>
      </c>
    </row>
    <row r="7" spans="1:13" ht="15.6" x14ac:dyDescent="0.3">
      <c r="A7" s="137">
        <v>1372854.3166666667</v>
      </c>
      <c r="B7" s="8">
        <f t="shared" ref="B7:B17" si="0">A7/$A$18</f>
        <v>7.0864233736234183E-2</v>
      </c>
      <c r="C7" s="8"/>
      <c r="D7" s="68" t="s">
        <v>25</v>
      </c>
      <c r="E7" s="69">
        <f t="shared" ref="E7:E17" si="1">B7*$E$19</f>
        <v>1453024.9801453196</v>
      </c>
      <c r="F7" s="69">
        <f t="shared" ref="F7:F17" si="2">F6+E7</f>
        <v>2788834.0305441078</v>
      </c>
      <c r="G7" s="137">
        <v>1561126.6249999998</v>
      </c>
      <c r="H7" s="138">
        <f>H6+G7</f>
        <v>3198086.458333333</v>
      </c>
      <c r="I7" s="77"/>
      <c r="J7" s="69">
        <f t="shared" ref="J7:J17" si="3">+F7-H7</f>
        <v>-409252.42778922524</v>
      </c>
    </row>
    <row r="8" spans="1:13" ht="15.6" x14ac:dyDescent="0.3">
      <c r="A8" s="139">
        <v>1600219.0216666667</v>
      </c>
      <c r="B8" s="8">
        <f t="shared" si="0"/>
        <v>8.2600384763249518E-2</v>
      </c>
      <c r="C8" s="8"/>
      <c r="D8" s="76" t="s">
        <v>24</v>
      </c>
      <c r="E8" s="70">
        <f t="shared" si="1"/>
        <v>1693667.1167199505</v>
      </c>
      <c r="F8" s="70">
        <f t="shared" si="2"/>
        <v>4482501.1472640578</v>
      </c>
      <c r="G8" s="139">
        <v>1737250.7750000001</v>
      </c>
      <c r="H8" s="140">
        <f>H7+G8</f>
        <v>4935337.2333333334</v>
      </c>
      <c r="I8" s="77"/>
      <c r="J8" s="70">
        <f t="shared" si="3"/>
        <v>-452836.08606927563</v>
      </c>
    </row>
    <row r="9" spans="1:13" ht="15.6" x14ac:dyDescent="0.3">
      <c r="A9" s="135">
        <v>1771438.0016666669</v>
      </c>
      <c r="B9" s="8">
        <f t="shared" si="0"/>
        <v>9.1438395957517862E-2</v>
      </c>
      <c r="C9" s="8"/>
      <c r="D9" s="68" t="s">
        <v>23</v>
      </c>
      <c r="E9" s="69">
        <f t="shared" si="1"/>
        <v>1874884.7827131355</v>
      </c>
      <c r="F9" s="69">
        <f t="shared" si="2"/>
        <v>6357385.9299771935</v>
      </c>
      <c r="G9" s="135">
        <v>2273933.6066666665</v>
      </c>
      <c r="H9" s="138">
        <f t="shared" ref="H9:H17" si="4">H8+G9</f>
        <v>7209270.8399999999</v>
      </c>
      <c r="I9" s="77"/>
      <c r="J9" s="69">
        <f t="shared" si="3"/>
        <v>-851884.91002280638</v>
      </c>
    </row>
    <row r="10" spans="1:13" ht="15.6" x14ac:dyDescent="0.3">
      <c r="A10" s="204">
        <v>1699426.0266666666</v>
      </c>
      <c r="B10" s="8">
        <f t="shared" si="0"/>
        <v>8.7721269262969317E-2</v>
      </c>
      <c r="C10" s="8"/>
      <c r="D10" s="68" t="s">
        <v>22</v>
      </c>
      <c r="E10" s="69">
        <f t="shared" si="1"/>
        <v>1798667.5196908957</v>
      </c>
      <c r="F10" s="69">
        <f t="shared" si="2"/>
        <v>8156053.4496680889</v>
      </c>
      <c r="G10" s="204">
        <v>2035592.4366666668</v>
      </c>
      <c r="H10" s="138">
        <f>H9+G10</f>
        <v>9244863.2766666673</v>
      </c>
      <c r="I10" s="77"/>
      <c r="J10" s="69">
        <f t="shared" si="3"/>
        <v>-1088809.8269985784</v>
      </c>
    </row>
    <row r="11" spans="1:13" ht="15.6" x14ac:dyDescent="0.3">
      <c r="A11" s="141">
        <v>1629901.4616666667</v>
      </c>
      <c r="B11" s="8">
        <f t="shared" si="0"/>
        <v>8.4132538131954301E-2</v>
      </c>
      <c r="C11" s="8"/>
      <c r="D11" s="76" t="s">
        <v>21</v>
      </c>
      <c r="E11" s="70">
        <f t="shared" si="1"/>
        <v>1725082.9241133991</v>
      </c>
      <c r="F11" s="70">
        <f t="shared" si="2"/>
        <v>9881136.3737814873</v>
      </c>
      <c r="G11" s="141">
        <v>2197900.8766666665</v>
      </c>
      <c r="H11" s="140">
        <f>H10 +G11</f>
        <v>11442764.153333334</v>
      </c>
      <c r="I11" s="77"/>
      <c r="J11" s="70">
        <f>+F11-H11</f>
        <v>-1561627.7795518469</v>
      </c>
    </row>
    <row r="12" spans="1:13" ht="15.6" x14ac:dyDescent="0.3">
      <c r="A12" s="204">
        <v>1556468.3749999998</v>
      </c>
      <c r="B12" s="8">
        <f t="shared" si="0"/>
        <v>8.0342056247354368E-2</v>
      </c>
      <c r="C12" s="8"/>
      <c r="D12" s="68" t="s">
        <v>20</v>
      </c>
      <c r="E12" s="69">
        <f t="shared" si="1"/>
        <v>1647361.5606733842</v>
      </c>
      <c r="F12" s="69">
        <f t="shared" si="2"/>
        <v>11528497.934454871</v>
      </c>
      <c r="G12" s="204">
        <v>1626166.6900000002</v>
      </c>
      <c r="H12" s="138">
        <f t="shared" si="4"/>
        <v>13068930.843333334</v>
      </c>
      <c r="I12" s="77"/>
      <c r="J12" s="69">
        <f t="shared" si="3"/>
        <v>-1540432.9088784624</v>
      </c>
    </row>
    <row r="13" spans="1:13" ht="15.6" x14ac:dyDescent="0.3">
      <c r="A13" s="204">
        <v>1574875.0099999998</v>
      </c>
      <c r="B13" s="8">
        <f t="shared" si="0"/>
        <v>8.1292173145485702E-2</v>
      </c>
      <c r="C13" s="8"/>
      <c r="D13" s="68" t="s">
        <v>19</v>
      </c>
      <c r="E13" s="69">
        <f t="shared" si="1"/>
        <v>1666843.0891434667</v>
      </c>
      <c r="F13" s="69">
        <f>F12+E13</f>
        <v>13195341.023598338</v>
      </c>
      <c r="G13" s="204">
        <v>1644664.35</v>
      </c>
      <c r="H13" s="138">
        <f>H12+G13</f>
        <v>14713595.193333333</v>
      </c>
      <c r="I13" s="77"/>
      <c r="J13" s="69">
        <f t="shared" si="3"/>
        <v>-1518254.1697349958</v>
      </c>
    </row>
    <row r="14" spans="1:13" ht="15.6" x14ac:dyDescent="0.3">
      <c r="A14" s="141">
        <v>1604200.5999999999</v>
      </c>
      <c r="B14" s="8">
        <f t="shared" si="0"/>
        <v>8.2805906568605758E-2</v>
      </c>
      <c r="C14" s="8"/>
      <c r="D14" s="76" t="s">
        <v>18</v>
      </c>
      <c r="E14" s="70">
        <f t="shared" si="1"/>
        <v>1697881.2075440849</v>
      </c>
      <c r="F14" s="70">
        <f t="shared" si="2"/>
        <v>14893222.231142422</v>
      </c>
      <c r="G14" s="141">
        <v>1696704.8299999998</v>
      </c>
      <c r="H14" s="140">
        <f t="shared" si="4"/>
        <v>16410300.023333333</v>
      </c>
      <c r="I14" s="77"/>
      <c r="J14" s="70">
        <f t="shared" si="3"/>
        <v>-1517077.7921909112</v>
      </c>
    </row>
    <row r="15" spans="1:13" ht="15.75" x14ac:dyDescent="0.25">
      <c r="A15" s="204">
        <v>1925202.3499999996</v>
      </c>
      <c r="B15" s="8">
        <f t="shared" si="0"/>
        <v>9.9375430927877872E-2</v>
      </c>
      <c r="C15" s="8"/>
      <c r="D15" s="68" t="s">
        <v>17</v>
      </c>
      <c r="E15" s="69">
        <f t="shared" si="1"/>
        <v>2037628.5177706017</v>
      </c>
      <c r="F15" s="69">
        <f t="shared" si="2"/>
        <v>16930850.748913024</v>
      </c>
      <c r="G15" s="204">
        <v>1850341.27</v>
      </c>
      <c r="H15" s="138">
        <f t="shared" si="4"/>
        <v>18260641.293333333</v>
      </c>
      <c r="I15" s="77"/>
      <c r="J15" s="69">
        <f t="shared" si="3"/>
        <v>-1329790.5444203094</v>
      </c>
    </row>
    <row r="16" spans="1:13" ht="15.75" x14ac:dyDescent="0.25">
      <c r="A16" s="187">
        <v>1782273.46</v>
      </c>
      <c r="B16" s="8">
        <f t="shared" si="0"/>
        <v>9.199770253699302E-2</v>
      </c>
      <c r="C16" s="8"/>
      <c r="D16" s="68" t="s">
        <v>16</v>
      </c>
      <c r="E16" s="69">
        <f t="shared" si="1"/>
        <v>1886353.0000166902</v>
      </c>
      <c r="F16" s="69">
        <f t="shared" si="2"/>
        <v>18817203.748929713</v>
      </c>
      <c r="G16" s="204">
        <v>1853730</v>
      </c>
      <c r="H16" s="138">
        <f t="shared" si="4"/>
        <v>20114371.293333333</v>
      </c>
      <c r="I16" s="77"/>
      <c r="J16" s="69">
        <f t="shared" si="3"/>
        <v>-1297167.5444036201</v>
      </c>
    </row>
    <row r="17" spans="1:11" ht="15.75" x14ac:dyDescent="0.25">
      <c r="A17" s="217">
        <v>1594057</v>
      </c>
      <c r="B17" s="8">
        <f t="shared" si="0"/>
        <v>8.2282312453337822E-2</v>
      </c>
      <c r="C17" s="8"/>
      <c r="D17" s="76" t="s">
        <v>15</v>
      </c>
      <c r="E17" s="70">
        <f t="shared" si="1"/>
        <v>1687145.251070285</v>
      </c>
      <c r="F17" s="70">
        <f t="shared" si="2"/>
        <v>20504348.999999996</v>
      </c>
      <c r="G17" s="141"/>
      <c r="H17" s="140">
        <f t="shared" si="4"/>
        <v>20114371.293333333</v>
      </c>
      <c r="I17" s="77" t="s">
        <v>308</v>
      </c>
      <c r="J17" s="70">
        <f t="shared" si="3"/>
        <v>389977.70666666329</v>
      </c>
    </row>
    <row r="18" spans="1:11" ht="15.75" x14ac:dyDescent="0.25">
      <c r="A18" s="252">
        <f>SUM(A6:A17)</f>
        <v>19373021.399999999</v>
      </c>
      <c r="B18" s="251">
        <f>SUM(B6:B17)</f>
        <v>1</v>
      </c>
      <c r="C18" s="251"/>
      <c r="D18" s="68"/>
      <c r="E18" s="69" t="s">
        <v>308</v>
      </c>
      <c r="F18" s="68"/>
      <c r="G18" s="68"/>
      <c r="H18" s="68"/>
      <c r="I18" s="75"/>
      <c r="J18" s="68"/>
    </row>
    <row r="19" spans="1:11" ht="15.75" x14ac:dyDescent="0.25">
      <c r="D19" s="68"/>
      <c r="E19" s="129">
        <v>20504349</v>
      </c>
      <c r="F19" s="205" t="s">
        <v>405</v>
      </c>
      <c r="G19" s="206"/>
      <c r="H19" s="206"/>
      <c r="I19" s="144"/>
      <c r="J19" s="201"/>
    </row>
    <row r="20" spans="1:11" ht="15.75" x14ac:dyDescent="0.25">
      <c r="D20" s="68"/>
      <c r="E20" s="68"/>
      <c r="F20" s="144" t="s">
        <v>308</v>
      </c>
      <c r="G20" s="144"/>
      <c r="H20" s="144"/>
      <c r="I20" s="144"/>
      <c r="J20" s="201"/>
      <c r="K20" s="113"/>
    </row>
    <row r="21" spans="1:11" ht="15.75" x14ac:dyDescent="0.25">
      <c r="D21" s="68"/>
      <c r="E21" s="153" t="s">
        <v>482</v>
      </c>
      <c r="F21" s="152"/>
      <c r="G21" s="95" t="s">
        <v>308</v>
      </c>
      <c r="H21" s="68"/>
      <c r="I21" s="68"/>
      <c r="J21" s="201"/>
    </row>
    <row r="22" spans="1:11" ht="15.75" x14ac:dyDescent="0.25">
      <c r="D22" s="68"/>
      <c r="E22" s="68" t="s">
        <v>335</v>
      </c>
      <c r="F22" s="154"/>
      <c r="G22" s="95" t="s">
        <v>308</v>
      </c>
      <c r="H22" s="68"/>
      <c r="I22" s="68"/>
      <c r="J22" s="201"/>
    </row>
    <row r="23" spans="1:11" ht="15.75" x14ac:dyDescent="0.25">
      <c r="E23" t="s">
        <v>336</v>
      </c>
      <c r="F23" s="155"/>
      <c r="J23" s="202"/>
    </row>
    <row r="24" spans="1:11" ht="15.75" x14ac:dyDescent="0.25">
      <c r="E24" t="s">
        <v>333</v>
      </c>
      <c r="F24" s="155">
        <v>28750</v>
      </c>
      <c r="H24" t="s">
        <v>308</v>
      </c>
      <c r="J24" s="202"/>
    </row>
    <row r="25" spans="1:11" ht="15.75" x14ac:dyDescent="0.25">
      <c r="E25" t="s">
        <v>334</v>
      </c>
      <c r="F25" s="155"/>
      <c r="J25" s="202"/>
    </row>
    <row r="26" spans="1:11" ht="15.75" x14ac:dyDescent="0.25">
      <c r="F26" s="155"/>
      <c r="J26" s="202"/>
    </row>
    <row r="27" spans="1:11" ht="15.75" x14ac:dyDescent="0.25">
      <c r="E27" s="244" t="s">
        <v>308</v>
      </c>
      <c r="F27" s="245">
        <f>SUM(F22:F26)</f>
        <v>28750</v>
      </c>
      <c r="G27" s="246" t="s">
        <v>308</v>
      </c>
      <c r="H27" s="247"/>
      <c r="J27" s="202"/>
    </row>
    <row r="28" spans="1:11" ht="15.75" thickBot="1" x14ac:dyDescent="0.3">
      <c r="E28" s="248"/>
      <c r="F28" s="249"/>
      <c r="G28" s="249"/>
      <c r="H28" s="250"/>
      <c r="J28" s="203"/>
    </row>
    <row r="29" spans="1:11" x14ac:dyDescent="0.25">
      <c r="D29" s="156" t="s">
        <v>345</v>
      </c>
      <c r="E29" s="159" t="s">
        <v>308</v>
      </c>
      <c r="F29" s="159"/>
      <c r="G29" s="159"/>
      <c r="H29" s="159"/>
      <c r="I29" s="157"/>
      <c r="J29" s="203"/>
    </row>
    <row r="30" spans="1:11" x14ac:dyDescent="0.25">
      <c r="D30" s="158"/>
      <c r="E30" s="166" t="s">
        <v>308</v>
      </c>
      <c r="F30" s="166"/>
      <c r="G30" s="166"/>
      <c r="H30" s="166"/>
      <c r="I30" s="160"/>
      <c r="J30" s="203"/>
    </row>
    <row r="31" spans="1:11" x14ac:dyDescent="0.25">
      <c r="D31" s="158"/>
      <c r="E31" s="268" t="s">
        <v>546</v>
      </c>
      <c r="F31" s="267"/>
      <c r="G31" s="267"/>
      <c r="H31" s="267"/>
      <c r="I31" s="160"/>
      <c r="J31" s="203"/>
    </row>
    <row r="32" spans="1:11" x14ac:dyDescent="0.25">
      <c r="D32" s="158"/>
      <c r="E32" s="166" t="s">
        <v>551</v>
      </c>
      <c r="F32" s="166"/>
      <c r="G32" s="166"/>
      <c r="H32" s="166"/>
      <c r="I32" s="160"/>
      <c r="J32" s="203"/>
    </row>
    <row r="33" spans="4:10" x14ac:dyDescent="0.25">
      <c r="D33" s="158"/>
      <c r="E33" s="166" t="s">
        <v>552</v>
      </c>
      <c r="F33" s="166"/>
      <c r="G33" s="166"/>
      <c r="H33" s="166"/>
      <c r="I33" s="160"/>
      <c r="J33" s="203"/>
    </row>
    <row r="34" spans="4:10" x14ac:dyDescent="0.25">
      <c r="D34" s="158"/>
      <c r="E34" s="166" t="s">
        <v>553</v>
      </c>
      <c r="F34" s="166"/>
      <c r="G34" s="166"/>
      <c r="H34" s="166"/>
      <c r="I34" s="160"/>
    </row>
    <row r="35" spans="4:10" ht="15.75" thickBot="1" x14ac:dyDescent="0.3">
      <c r="D35" s="161"/>
      <c r="E35" s="266" t="s">
        <v>357</v>
      </c>
      <c r="F35" s="266"/>
      <c r="G35" s="266"/>
      <c r="H35" s="266"/>
      <c r="I35" s="163"/>
    </row>
  </sheetData>
  <mergeCells count="2">
    <mergeCell ref="E3:F3"/>
    <mergeCell ref="G3:H3"/>
  </mergeCells>
  <pageMargins left="0.7" right="0.7" top="0.75" bottom="0.75" header="0.3" footer="0.3"/>
  <pageSetup scale="79" fitToWidth="2" orientation="landscape" r:id="rId1"/>
  <headerFooter>
    <oddFooter>&amp;L&amp;F&amp;CPrinted on &amp;D,  &amp;P of &amp;N&amp;RLarry S. Fodor</oddFooter>
  </headerFooter>
  <colBreaks count="1" manualBreakCount="1">
    <brk id="11" max="38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6"/>
  <sheetViews>
    <sheetView topLeftCell="A7" zoomScale="120" zoomScaleNormal="120" workbookViewId="0">
      <selection activeCell="L31" sqref="L31"/>
    </sheetView>
  </sheetViews>
  <sheetFormatPr defaultRowHeight="15" x14ac:dyDescent="0.25"/>
  <sheetData>
    <row r="46" ht="15" customHeight="1" x14ac:dyDescent="0.25"/>
  </sheetData>
  <pageMargins left="0.7" right="0.7" top="0.75" bottom="0.75" header="0.3" footer="0.3"/>
  <pageSetup scale="105" orientation="portrait" r:id="rId1"/>
  <headerFooter>
    <oddFooter>&amp;L&amp;F&amp;CPrinted on &amp;D&amp;RLarry S. Fodor</oddFooter>
  </headerFooter>
  <rowBreaks count="2" manualBreakCount="2">
    <brk id="41" max="16383" man="1"/>
    <brk id="47" max="16383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Q35"/>
  <sheetViews>
    <sheetView topLeftCell="C1" zoomScale="90" zoomScaleNormal="90" workbookViewId="0">
      <selection activeCell="H21" sqref="H21"/>
    </sheetView>
  </sheetViews>
  <sheetFormatPr defaultRowHeight="15" x14ac:dyDescent="0.25"/>
  <cols>
    <col min="1" max="1" width="10.5703125" customWidth="1"/>
    <col min="2" max="2" width="10.42578125" customWidth="1"/>
    <col min="3" max="3" width="12.85546875" customWidth="1"/>
    <col min="4" max="4" width="13.42578125" customWidth="1"/>
    <col min="5" max="5" width="8.42578125" customWidth="1"/>
    <col min="6" max="6" width="13.5703125" customWidth="1"/>
    <col min="7" max="7" width="2.28515625" customWidth="1"/>
    <col min="8" max="8" width="10.28515625" bestFit="1" customWidth="1"/>
    <col min="9" max="9" width="13.85546875" customWidth="1"/>
    <col min="10" max="10" width="13.42578125" customWidth="1"/>
    <col min="11" max="11" width="12.28515625" customWidth="1"/>
    <col min="12" max="12" width="17" customWidth="1"/>
    <col min="13" max="13" width="2.28515625" customWidth="1"/>
    <col min="14" max="14" width="19.28515625" customWidth="1"/>
    <col min="15" max="15" width="5.28515625" customWidth="1"/>
  </cols>
  <sheetData>
    <row r="2" spans="1:17" ht="15.6" x14ac:dyDescent="0.3">
      <c r="A2" s="68"/>
      <c r="B2" s="290" t="s">
        <v>36</v>
      </c>
      <c r="C2" s="291"/>
      <c r="D2" s="291"/>
      <c r="E2" s="291"/>
      <c r="F2" s="292"/>
      <c r="G2" s="82"/>
      <c r="H2" s="82"/>
      <c r="I2" s="130" t="s">
        <v>307</v>
      </c>
      <c r="J2" s="131"/>
      <c r="K2" s="131"/>
      <c r="L2" s="132"/>
      <c r="M2" s="82"/>
      <c r="N2" s="68"/>
    </row>
    <row r="3" spans="1:17" ht="15.6" x14ac:dyDescent="0.3">
      <c r="A3" s="68"/>
      <c r="B3" s="288" t="s">
        <v>35</v>
      </c>
      <c r="C3" s="293"/>
      <c r="D3" s="290" t="s">
        <v>8</v>
      </c>
      <c r="E3" s="291"/>
      <c r="F3" s="292"/>
      <c r="G3" s="82"/>
      <c r="H3" s="82"/>
      <c r="I3" s="288" t="s">
        <v>35</v>
      </c>
      <c r="J3" s="289"/>
      <c r="K3" s="288" t="s">
        <v>8</v>
      </c>
      <c r="L3" s="289"/>
      <c r="M3" s="82"/>
      <c r="N3" s="68"/>
    </row>
    <row r="4" spans="1:17" ht="46.9" x14ac:dyDescent="0.3">
      <c r="A4" s="87" t="s">
        <v>72</v>
      </c>
      <c r="B4" s="86" t="s">
        <v>34</v>
      </c>
      <c r="C4" s="85" t="s">
        <v>32</v>
      </c>
      <c r="D4" s="86" t="s">
        <v>34</v>
      </c>
      <c r="E4" s="88" t="s">
        <v>33</v>
      </c>
      <c r="F4" s="85" t="s">
        <v>32</v>
      </c>
      <c r="G4" s="82"/>
      <c r="H4" s="87" t="s">
        <v>72</v>
      </c>
      <c r="I4" s="86" t="s">
        <v>31</v>
      </c>
      <c r="J4" s="85" t="s">
        <v>30</v>
      </c>
      <c r="K4" s="86" t="s">
        <v>29</v>
      </c>
      <c r="L4" s="85" t="s">
        <v>28</v>
      </c>
      <c r="M4" s="82"/>
      <c r="N4" s="133" t="s">
        <v>27</v>
      </c>
      <c r="O4" s="134"/>
      <c r="P4" s="134"/>
      <c r="Q4" s="134"/>
    </row>
    <row r="5" spans="1:17" ht="15.6" x14ac:dyDescent="0.3">
      <c r="A5" s="76"/>
      <c r="B5" s="76"/>
      <c r="C5" s="83"/>
      <c r="D5" s="76"/>
      <c r="E5" s="76"/>
      <c r="F5" s="83"/>
      <c r="G5" s="82"/>
      <c r="H5" s="83"/>
      <c r="I5" s="76"/>
      <c r="J5" s="83"/>
      <c r="K5" s="76"/>
      <c r="L5" s="83"/>
      <c r="M5" s="82"/>
      <c r="N5" s="76"/>
    </row>
    <row r="6" spans="1:17" ht="15.6" x14ac:dyDescent="0.3">
      <c r="A6" s="68" t="s">
        <v>26</v>
      </c>
      <c r="B6" s="80"/>
      <c r="C6" s="80"/>
      <c r="D6" s="80">
        <v>1347960.0533333332</v>
      </c>
      <c r="E6" s="81">
        <f>D6/D19</f>
        <v>7.3848551763900594E-2</v>
      </c>
      <c r="F6" s="80">
        <v>1347960.0533333332</v>
      </c>
      <c r="G6" s="77"/>
      <c r="H6" s="68" t="s">
        <v>26</v>
      </c>
      <c r="I6" s="80">
        <f>$I$19*E6</f>
        <v>1425739.7102200822</v>
      </c>
      <c r="J6" s="80">
        <f>I6</f>
        <v>1425739.7102200822</v>
      </c>
      <c r="K6" s="135">
        <v>1262105.7766666668</v>
      </c>
      <c r="L6" s="136">
        <f>K6</f>
        <v>1262105.7766666668</v>
      </c>
      <c r="M6" s="77"/>
      <c r="N6" s="69">
        <f>+J6-L6</f>
        <v>163633.93355341535</v>
      </c>
    </row>
    <row r="7" spans="1:17" ht="15.6" x14ac:dyDescent="0.3">
      <c r="A7" s="68" t="s">
        <v>25</v>
      </c>
      <c r="B7" s="80"/>
      <c r="C7" s="80"/>
      <c r="D7" s="80">
        <f>'[4]Cost and Consumption by month'!D116</f>
        <v>1493468.5299999998</v>
      </c>
      <c r="E7" s="81">
        <f>D7/D19</f>
        <v>8.1820294134627505E-2</v>
      </c>
      <c r="F7" s="80">
        <v>2806574.1066666665</v>
      </c>
      <c r="G7" s="77"/>
      <c r="H7" s="68" t="s">
        <v>25</v>
      </c>
      <c r="I7" s="80">
        <f t="shared" ref="I7:I17" si="0">$I$19*E7</f>
        <v>1579644.2809410642</v>
      </c>
      <c r="J7" s="69">
        <f t="shared" ref="J7:J17" si="1">J6+I7</f>
        <v>3005383.9911611462</v>
      </c>
      <c r="K7" s="137">
        <v>1372854.3166666667</v>
      </c>
      <c r="L7" s="138">
        <f>L6+K7</f>
        <v>2634960.0933333337</v>
      </c>
      <c r="M7" s="77"/>
      <c r="N7" s="69">
        <f t="shared" ref="N7:N17" si="2">+J7-L7</f>
        <v>370423.89782781247</v>
      </c>
    </row>
    <row r="8" spans="1:17" ht="15.6" x14ac:dyDescent="0.3">
      <c r="A8" s="76" t="s">
        <v>24</v>
      </c>
      <c r="B8" s="78"/>
      <c r="C8" s="78"/>
      <c r="D8" s="78">
        <f>'[4]Cost and Consumption by month'!D117</f>
        <v>1684623.94</v>
      </c>
      <c r="E8" s="79">
        <f>D8/D19</f>
        <v>9.2292822719896944E-2</v>
      </c>
      <c r="F8" s="78">
        <v>4426203.6500000004</v>
      </c>
      <c r="G8" s="77"/>
      <c r="H8" s="76" t="s">
        <v>24</v>
      </c>
      <c r="I8" s="78">
        <f t="shared" si="0"/>
        <v>1781829.6930283513</v>
      </c>
      <c r="J8" s="70">
        <f t="shared" si="1"/>
        <v>4787213.6841894975</v>
      </c>
      <c r="K8" s="139">
        <v>1600219.0216666667</v>
      </c>
      <c r="L8" s="140">
        <f>L7+K8</f>
        <v>4235179.1150000002</v>
      </c>
      <c r="M8" s="77"/>
      <c r="N8" s="70">
        <f t="shared" si="2"/>
        <v>552034.56918949727</v>
      </c>
    </row>
    <row r="9" spans="1:17" ht="15.6" x14ac:dyDescent="0.3">
      <c r="A9" s="68" t="s">
        <v>23</v>
      </c>
      <c r="B9" s="80"/>
      <c r="C9" s="80"/>
      <c r="D9" s="80">
        <f>'[4]Cost and Consumption by month'!D118</f>
        <v>1708492.04</v>
      </c>
      <c r="E9" s="81">
        <f>D9/D19</f>
        <v>9.3600446498507614E-2</v>
      </c>
      <c r="F9" s="80">
        <v>6049969.1799999997</v>
      </c>
      <c r="G9" s="77"/>
      <c r="H9" s="68" t="s">
        <v>23</v>
      </c>
      <c r="I9" s="80">
        <f t="shared" si="0"/>
        <v>1807075.0242185101</v>
      </c>
      <c r="J9" s="69">
        <f t="shared" si="1"/>
        <v>6594288.7084080074</v>
      </c>
      <c r="K9" s="135">
        <v>1771438.0016666669</v>
      </c>
      <c r="L9" s="138">
        <f t="shared" ref="L9:L17" si="3">L8+K9</f>
        <v>6006617.1166666672</v>
      </c>
      <c r="M9" s="77"/>
      <c r="N9" s="69">
        <f t="shared" si="2"/>
        <v>587671.59174134023</v>
      </c>
    </row>
    <row r="10" spans="1:17" ht="15.6" x14ac:dyDescent="0.3">
      <c r="A10" s="68" t="s">
        <v>22</v>
      </c>
      <c r="B10" s="80"/>
      <c r="C10" s="80"/>
      <c r="D10" s="80">
        <f>'[4]Cost and Consumption by month'!D119</f>
        <v>1566531.4600000002</v>
      </c>
      <c r="E10" s="81">
        <f>D10/D19</f>
        <v>8.5823077121248412E-2</v>
      </c>
      <c r="F10" s="80">
        <v>7640323.5399999991</v>
      </c>
      <c r="G10" s="77"/>
      <c r="H10" s="68" t="s">
        <v>22</v>
      </c>
      <c r="I10" s="80">
        <f t="shared" si="0"/>
        <v>1656923.0700182589</v>
      </c>
      <c r="J10" s="69">
        <f t="shared" si="1"/>
        <v>8251211.7784262663</v>
      </c>
      <c r="K10" s="204">
        <v>1699426.0266666666</v>
      </c>
      <c r="L10" s="138">
        <f>L9+K10</f>
        <v>7706043.1433333335</v>
      </c>
      <c r="M10" s="77"/>
      <c r="N10" s="69">
        <f t="shared" si="2"/>
        <v>545168.63509293273</v>
      </c>
    </row>
    <row r="11" spans="1:17" ht="15.6" x14ac:dyDescent="0.3">
      <c r="A11" s="76" t="s">
        <v>21</v>
      </c>
      <c r="B11" s="78"/>
      <c r="C11" s="78"/>
      <c r="D11" s="78">
        <f>'[4]Cost and Consumption by month'!D120</f>
        <v>1659539.87</v>
      </c>
      <c r="E11" s="79">
        <f>D11/D19</f>
        <v>9.0918581519452257E-2</v>
      </c>
      <c r="F11" s="78">
        <v>9248432.2599999998</v>
      </c>
      <c r="G11" s="77"/>
      <c r="H11" s="76" t="s">
        <v>21</v>
      </c>
      <c r="I11" s="78">
        <f t="shared" si="0"/>
        <v>1755298.228238648</v>
      </c>
      <c r="J11" s="70">
        <f t="shared" si="1"/>
        <v>10006510.006664915</v>
      </c>
      <c r="K11" s="141">
        <v>1629901.4616666667</v>
      </c>
      <c r="L11" s="140">
        <f>L10 +K11</f>
        <v>9335944.6050000004</v>
      </c>
      <c r="M11" s="77"/>
      <c r="N11" s="70">
        <f>+J11-L11</f>
        <v>670565.40166491456</v>
      </c>
    </row>
    <row r="12" spans="1:17" ht="15.6" x14ac:dyDescent="0.3">
      <c r="A12" s="68" t="s">
        <v>20</v>
      </c>
      <c r="B12" s="80"/>
      <c r="C12" s="80"/>
      <c r="D12" s="80">
        <f>'[4]Cost and Consumption by month'!D121</f>
        <v>1309764.8700000001</v>
      </c>
      <c r="E12" s="81">
        <f>D12/D19</f>
        <v>7.1756012770220326E-2</v>
      </c>
      <c r="F12" s="80">
        <v>10603195.92</v>
      </c>
      <c r="G12" s="77"/>
      <c r="H12" s="68" t="s">
        <v>20</v>
      </c>
      <c r="I12" s="80">
        <f t="shared" si="0"/>
        <v>1385340.5978852578</v>
      </c>
      <c r="J12" s="69">
        <f t="shared" si="1"/>
        <v>11391850.604550174</v>
      </c>
      <c r="K12" s="204">
        <v>1556468.3749999998</v>
      </c>
      <c r="L12" s="138">
        <f t="shared" si="3"/>
        <v>10892412.98</v>
      </c>
      <c r="M12" s="77"/>
      <c r="N12" s="69">
        <f t="shared" si="2"/>
        <v>499437.62455017306</v>
      </c>
    </row>
    <row r="13" spans="1:17" ht="15.6" x14ac:dyDescent="0.3">
      <c r="A13" s="68" t="s">
        <v>19</v>
      </c>
      <c r="B13" s="80"/>
      <c r="C13" s="80"/>
      <c r="D13" s="80">
        <f>'[4]Cost and Consumption by month'!D122</f>
        <v>1436752.77</v>
      </c>
      <c r="E13" s="81">
        <f>D13/D19</f>
        <v>7.8713097650702321E-2</v>
      </c>
      <c r="F13" s="80">
        <v>12046408.27</v>
      </c>
      <c r="G13" s="77"/>
      <c r="H13" s="68" t="s">
        <v>19</v>
      </c>
      <c r="I13" s="80">
        <f t="shared" si="0"/>
        <v>1519655.9222153365</v>
      </c>
      <c r="J13" s="69">
        <f t="shared" si="1"/>
        <v>12911506.52676551</v>
      </c>
      <c r="K13" s="204">
        <v>1574875.0099999998</v>
      </c>
      <c r="L13" s="138">
        <f t="shared" si="3"/>
        <v>12467287.99</v>
      </c>
      <c r="M13" s="77"/>
      <c r="N13" s="69">
        <f t="shared" si="2"/>
        <v>444218.53676551022</v>
      </c>
    </row>
    <row r="14" spans="1:17" ht="15.6" x14ac:dyDescent="0.3">
      <c r="A14" s="76" t="s">
        <v>18</v>
      </c>
      <c r="B14" s="78"/>
      <c r="C14" s="78"/>
      <c r="D14" s="78">
        <f>'[4]Cost and Consumption by month'!D123</f>
        <v>1459204.6199999999</v>
      </c>
      <c r="E14" s="79">
        <f>D14/D19</f>
        <v>7.9943131584438124E-2</v>
      </c>
      <c r="F14" s="78">
        <v>13580413.949999999</v>
      </c>
      <c r="G14" s="77"/>
      <c r="H14" s="76" t="s">
        <v>18</v>
      </c>
      <c r="I14" s="78">
        <f t="shared" si="0"/>
        <v>1543403.2832990324</v>
      </c>
      <c r="J14" s="70">
        <f t="shared" si="1"/>
        <v>14454909.810064543</v>
      </c>
      <c r="K14" s="141">
        <v>1604200.5999999999</v>
      </c>
      <c r="L14" s="140">
        <f t="shared" si="3"/>
        <v>14071488.59</v>
      </c>
      <c r="M14" s="77"/>
      <c r="N14" s="70">
        <f t="shared" si="2"/>
        <v>383421.22006454319</v>
      </c>
    </row>
    <row r="15" spans="1:17" ht="15.75" x14ac:dyDescent="0.25">
      <c r="A15" s="68" t="s">
        <v>17</v>
      </c>
      <c r="B15" s="80"/>
      <c r="C15" s="80"/>
      <c r="D15" s="80">
        <f>'[4]Cost and Consumption by month'!D124</f>
        <v>1605753.03</v>
      </c>
      <c r="E15" s="81">
        <f>D15/D19</f>
        <v>8.7971847135051032E-2</v>
      </c>
      <c r="F15" s="80">
        <v>15070197.949999999</v>
      </c>
      <c r="G15" s="77"/>
      <c r="H15" s="68" t="s">
        <v>17</v>
      </c>
      <c r="I15" s="80">
        <f t="shared" si="0"/>
        <v>1698407.793328786</v>
      </c>
      <c r="J15" s="69">
        <f t="shared" si="1"/>
        <v>16153317.603393329</v>
      </c>
      <c r="K15" s="204">
        <v>1929807.1799999997</v>
      </c>
      <c r="L15" s="138">
        <f t="shared" si="3"/>
        <v>16001295.77</v>
      </c>
      <c r="M15" s="77"/>
      <c r="N15" s="69">
        <f t="shared" si="2"/>
        <v>152021.83339332975</v>
      </c>
    </row>
    <row r="16" spans="1:17" ht="15.75" x14ac:dyDescent="0.25">
      <c r="A16" s="68" t="s">
        <v>16</v>
      </c>
      <c r="B16" s="80"/>
      <c r="C16" s="80"/>
      <c r="D16" s="80">
        <f>'[4]Cost and Consumption by month'!D125</f>
        <v>1562596.23</v>
      </c>
      <c r="E16" s="81">
        <f>D16/D19</f>
        <v>8.5607483910129706E-2</v>
      </c>
      <c r="F16" s="80">
        <v>16484279.949999999</v>
      </c>
      <c r="G16" s="77"/>
      <c r="H16" s="68" t="s">
        <v>16</v>
      </c>
      <c r="I16" s="80">
        <f t="shared" si="0"/>
        <v>1652760.7703522004</v>
      </c>
      <c r="J16" s="69">
        <f t="shared" si="1"/>
        <v>17806078.373745531</v>
      </c>
      <c r="K16" s="204">
        <v>1883654.6233333333</v>
      </c>
      <c r="L16" s="138">
        <f t="shared" si="3"/>
        <v>17884950.393333334</v>
      </c>
      <c r="M16" s="77"/>
      <c r="N16" s="69">
        <f t="shared" si="2"/>
        <v>-78872.019587803632</v>
      </c>
    </row>
    <row r="17" spans="1:15" ht="15.75" x14ac:dyDescent="0.25">
      <c r="A17" s="76" t="s">
        <v>15</v>
      </c>
      <c r="B17" s="78"/>
      <c r="C17" s="78"/>
      <c r="D17" s="78">
        <f>'[4]Cost and Consumption by month'!D126</f>
        <v>1418345.5999999999</v>
      </c>
      <c r="E17" s="79">
        <f>D17/D19</f>
        <v>7.7704653191825027E-2</v>
      </c>
      <c r="F17" s="78">
        <v>18873098.949999999</v>
      </c>
      <c r="G17" s="77"/>
      <c r="H17" s="76" t="s">
        <v>15</v>
      </c>
      <c r="I17" s="78">
        <f t="shared" si="0"/>
        <v>1500186.6262544699</v>
      </c>
      <c r="J17" s="70">
        <f t="shared" si="1"/>
        <v>19306265</v>
      </c>
      <c r="K17" s="141">
        <v>1457021.7333333334</v>
      </c>
      <c r="L17" s="140">
        <f t="shared" si="3"/>
        <v>19341972.126666669</v>
      </c>
      <c r="M17" s="77" t="s">
        <v>308</v>
      </c>
      <c r="N17" s="70">
        <f t="shared" si="2"/>
        <v>-35707.126666668802</v>
      </c>
    </row>
    <row r="18" spans="1:15" ht="15.75" x14ac:dyDescent="0.25">
      <c r="A18" s="68"/>
      <c r="B18" s="68"/>
      <c r="C18" s="68"/>
      <c r="D18" s="68"/>
      <c r="E18" s="68"/>
      <c r="F18" s="68"/>
      <c r="G18" s="75"/>
      <c r="H18" s="68"/>
      <c r="I18" s="68"/>
      <c r="J18" s="68"/>
      <c r="K18" s="69" t="s">
        <v>308</v>
      </c>
      <c r="L18" s="68"/>
      <c r="M18" s="75"/>
      <c r="N18" s="68"/>
    </row>
    <row r="19" spans="1:15" ht="15.75" x14ac:dyDescent="0.25">
      <c r="A19" s="74" t="s">
        <v>14</v>
      </c>
      <c r="B19" s="68"/>
      <c r="C19" s="69" t="s">
        <v>308</v>
      </c>
      <c r="D19" s="69">
        <f>SUM(D6:D18)</f>
        <v>18253033.013333336</v>
      </c>
      <c r="E19" s="73">
        <f>SUM(E6:E18)</f>
        <v>0.99999999999999989</v>
      </c>
      <c r="F19" s="68"/>
      <c r="G19" s="68"/>
      <c r="H19" s="68"/>
      <c r="I19" s="129">
        <v>19306265</v>
      </c>
      <c r="J19" s="205" t="s">
        <v>405</v>
      </c>
      <c r="K19" s="206"/>
      <c r="L19" s="206"/>
      <c r="M19" s="144"/>
      <c r="N19" s="144"/>
    </row>
    <row r="20" spans="1:15" ht="15.75" x14ac:dyDescent="0.25">
      <c r="A20" s="68"/>
      <c r="B20" s="68"/>
      <c r="C20" s="68"/>
      <c r="D20" s="68"/>
      <c r="E20" s="68"/>
      <c r="F20" s="68"/>
      <c r="G20" s="68"/>
      <c r="H20" s="68"/>
      <c r="I20" s="68"/>
      <c r="J20" s="144" t="s">
        <v>308</v>
      </c>
      <c r="K20" s="144"/>
      <c r="L20" s="144"/>
      <c r="M20" s="144"/>
      <c r="N20" s="144"/>
      <c r="O20" s="113"/>
    </row>
    <row r="21" spans="1:15" ht="15.75" x14ac:dyDescent="0.25">
      <c r="A21" s="68" t="s">
        <v>13</v>
      </c>
      <c r="B21" s="68"/>
      <c r="C21" s="68"/>
      <c r="D21" s="129" t="s">
        <v>308</v>
      </c>
      <c r="E21" s="68"/>
      <c r="F21" s="68"/>
      <c r="G21" s="68"/>
      <c r="H21" s="68"/>
      <c r="I21" s="153" t="s">
        <v>332</v>
      </c>
      <c r="J21" s="152"/>
      <c r="K21" s="95" t="s">
        <v>308</v>
      </c>
      <c r="L21" s="68"/>
      <c r="M21" s="68"/>
      <c r="N21" s="201"/>
    </row>
    <row r="22" spans="1:15" ht="15.75" x14ac:dyDescent="0.25">
      <c r="A22" s="68"/>
      <c r="B22" s="68"/>
      <c r="C22" s="68"/>
      <c r="D22" s="72"/>
      <c r="E22" s="68"/>
      <c r="F22" s="68"/>
      <c r="G22" s="68"/>
      <c r="H22" s="68"/>
      <c r="I22" s="68" t="s">
        <v>335</v>
      </c>
      <c r="J22" s="154">
        <f>-164196.33+60284.43</f>
        <v>-103911.9</v>
      </c>
      <c r="K22" s="95" t="s">
        <v>308</v>
      </c>
      <c r="L22" s="68"/>
      <c r="M22" s="68"/>
      <c r="N22" s="201"/>
    </row>
    <row r="23" spans="1:15" ht="15.75" x14ac:dyDescent="0.25">
      <c r="I23" t="s">
        <v>336</v>
      </c>
      <c r="J23" s="155">
        <f>-58927.59+1013.89</f>
        <v>-57913.7</v>
      </c>
      <c r="N23" s="202"/>
    </row>
    <row r="24" spans="1:15" ht="15.75" x14ac:dyDescent="0.25">
      <c r="I24" t="s">
        <v>333</v>
      </c>
      <c r="J24" s="155">
        <v>0</v>
      </c>
      <c r="N24" s="202"/>
    </row>
    <row r="25" spans="1:15" ht="15.75" x14ac:dyDescent="0.25">
      <c r="I25" t="s">
        <v>334</v>
      </c>
      <c r="J25" s="155">
        <f>-784298.08+11025.19</f>
        <v>-773272.89</v>
      </c>
      <c r="N25" s="202"/>
    </row>
    <row r="26" spans="1:15" ht="15.75" x14ac:dyDescent="0.25">
      <c r="J26" s="155"/>
      <c r="N26" s="202"/>
    </row>
    <row r="27" spans="1:15" ht="15.75" x14ac:dyDescent="0.25">
      <c r="I27" s="228" t="s">
        <v>337</v>
      </c>
      <c r="J27" s="229">
        <f>SUM(J22:J26)</f>
        <v>-935098.49</v>
      </c>
      <c r="K27" s="230" t="s">
        <v>449</v>
      </c>
      <c r="L27" s="231"/>
      <c r="N27" s="202"/>
    </row>
    <row r="28" spans="1:15" ht="15.75" thickBot="1" x14ac:dyDescent="0.3">
      <c r="I28" s="232"/>
      <c r="J28" s="233"/>
      <c r="K28" s="233"/>
      <c r="L28" s="234"/>
      <c r="N28" s="203"/>
    </row>
    <row r="29" spans="1:15" x14ac:dyDescent="0.25">
      <c r="H29" s="156" t="s">
        <v>345</v>
      </c>
      <c r="I29" s="159" t="s">
        <v>308</v>
      </c>
      <c r="J29" s="159"/>
      <c r="K29" s="159"/>
      <c r="L29" s="159"/>
      <c r="M29" s="157"/>
      <c r="N29" s="203"/>
    </row>
    <row r="30" spans="1:15" x14ac:dyDescent="0.25">
      <c r="H30" s="158"/>
      <c r="I30" s="166" t="s">
        <v>406</v>
      </c>
      <c r="J30" s="166"/>
      <c r="K30" s="166"/>
      <c r="L30" s="166"/>
      <c r="M30" s="160"/>
      <c r="N30" s="203"/>
    </row>
    <row r="31" spans="1:15" x14ac:dyDescent="0.25">
      <c r="H31" s="158"/>
      <c r="I31" s="166" t="s">
        <v>472</v>
      </c>
      <c r="J31" s="166"/>
      <c r="K31" s="166"/>
      <c r="L31" s="159"/>
      <c r="M31" s="160"/>
      <c r="N31" s="203"/>
    </row>
    <row r="32" spans="1:15" x14ac:dyDescent="0.25">
      <c r="H32" s="158"/>
      <c r="I32" s="166" t="s">
        <v>473</v>
      </c>
      <c r="J32" s="166"/>
      <c r="K32" s="166"/>
      <c r="L32" s="166"/>
      <c r="M32" s="160"/>
      <c r="N32" s="203"/>
    </row>
    <row r="33" spans="8:14" x14ac:dyDescent="0.25">
      <c r="H33" s="158"/>
      <c r="I33" s="166" t="s">
        <v>474</v>
      </c>
      <c r="J33" s="166"/>
      <c r="K33" s="166"/>
      <c r="L33" s="159"/>
      <c r="M33" s="160"/>
      <c r="N33" s="203"/>
    </row>
    <row r="34" spans="8:14" x14ac:dyDescent="0.25">
      <c r="H34" s="158"/>
      <c r="I34" s="166" t="s">
        <v>357</v>
      </c>
      <c r="J34" s="166"/>
      <c r="K34" s="166"/>
      <c r="L34" s="166"/>
      <c r="M34" s="160"/>
    </row>
    <row r="35" spans="8:14" ht="15.75" thickBot="1" x14ac:dyDescent="0.3">
      <c r="H35" s="161"/>
      <c r="I35" s="162"/>
      <c r="J35" s="162"/>
      <c r="K35" s="162"/>
      <c r="L35" s="162"/>
      <c r="M35" s="163"/>
    </row>
  </sheetData>
  <mergeCells count="5">
    <mergeCell ref="B2:F2"/>
    <mergeCell ref="B3:C3"/>
    <mergeCell ref="D3:F3"/>
    <mergeCell ref="I3:J3"/>
    <mergeCell ref="K3:L3"/>
  </mergeCells>
  <pageMargins left="0.25" right="0.25" top="0.25" bottom="0.25" header="0.3" footer="0.3"/>
  <pageSetup scale="80" orientation="landscape" r:id="rId1"/>
  <headerFooter>
    <oddFooter>&amp;L&amp;F&amp;CPrinted on &amp;D&amp;RLarry S. Fodor</oddFooter>
  </headerFooter>
  <colBreaks count="1" manualBreakCount="1">
    <brk id="15" max="1048575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N27"/>
  <sheetViews>
    <sheetView topLeftCell="H4" zoomScale="90" zoomScaleNormal="90" workbookViewId="0">
      <selection activeCell="K15" sqref="K15"/>
    </sheetView>
  </sheetViews>
  <sheetFormatPr defaultColWidth="8.7109375" defaultRowHeight="15.75" x14ac:dyDescent="0.25"/>
  <cols>
    <col min="1" max="1" width="10.5703125" style="68" customWidth="1"/>
    <col min="2" max="2" width="10.42578125" style="68" customWidth="1"/>
    <col min="3" max="3" width="12.85546875" style="68" customWidth="1"/>
    <col min="4" max="4" width="13.42578125" style="68" customWidth="1"/>
    <col min="5" max="5" width="8.42578125" style="68" customWidth="1"/>
    <col min="6" max="6" width="12.28515625" style="68" customWidth="1"/>
    <col min="7" max="7" width="2.28515625" style="68" customWidth="1"/>
    <col min="8" max="8" width="10.28515625" style="68" bestFit="1" customWidth="1"/>
    <col min="9" max="9" width="12.28515625" style="68" customWidth="1"/>
    <col min="10" max="10" width="13.42578125" style="68" customWidth="1"/>
    <col min="11" max="11" width="11.85546875" style="68" customWidth="1"/>
    <col min="12" max="12" width="12.85546875" style="68" customWidth="1"/>
    <col min="13" max="13" width="2.28515625" style="68" customWidth="1"/>
    <col min="14" max="14" width="19.28515625" style="68" customWidth="1"/>
    <col min="15" max="16384" width="8.7109375" style="68"/>
  </cols>
  <sheetData>
    <row r="2" spans="1:14" ht="15.6" x14ac:dyDescent="0.3">
      <c r="B2" s="290" t="s">
        <v>37</v>
      </c>
      <c r="C2" s="291"/>
      <c r="D2" s="291"/>
      <c r="E2" s="291"/>
      <c r="F2" s="292"/>
      <c r="G2" s="82"/>
      <c r="H2" s="82"/>
      <c r="I2" s="294" t="s">
        <v>36</v>
      </c>
      <c r="J2" s="295"/>
      <c r="K2" s="295"/>
      <c r="L2" s="296"/>
      <c r="M2" s="82"/>
    </row>
    <row r="3" spans="1:14" ht="15.6" x14ac:dyDescent="0.3">
      <c r="B3" s="288" t="s">
        <v>35</v>
      </c>
      <c r="C3" s="293"/>
      <c r="D3" s="290" t="s">
        <v>8</v>
      </c>
      <c r="E3" s="291"/>
      <c r="F3" s="292"/>
      <c r="G3" s="82"/>
      <c r="H3" s="82"/>
      <c r="I3" s="288" t="s">
        <v>35</v>
      </c>
      <c r="J3" s="293"/>
      <c r="K3" s="290" t="s">
        <v>8</v>
      </c>
      <c r="L3" s="292"/>
      <c r="M3" s="82"/>
    </row>
    <row r="4" spans="1:14" ht="46.9" x14ac:dyDescent="0.3">
      <c r="A4" s="87" t="s">
        <v>72</v>
      </c>
      <c r="B4" s="86" t="s">
        <v>34</v>
      </c>
      <c r="C4" s="85" t="s">
        <v>32</v>
      </c>
      <c r="D4" s="86" t="s">
        <v>34</v>
      </c>
      <c r="E4" s="88" t="s">
        <v>33</v>
      </c>
      <c r="F4" s="85" t="s">
        <v>32</v>
      </c>
      <c r="G4" s="82"/>
      <c r="H4" s="87" t="s">
        <v>72</v>
      </c>
      <c r="I4" s="86" t="s">
        <v>31</v>
      </c>
      <c r="J4" s="85" t="s">
        <v>30</v>
      </c>
      <c r="K4" s="86" t="s">
        <v>29</v>
      </c>
      <c r="L4" s="85" t="s">
        <v>28</v>
      </c>
      <c r="M4" s="82"/>
      <c r="N4" s="84" t="s">
        <v>27</v>
      </c>
    </row>
    <row r="5" spans="1:14" ht="15.6" x14ac:dyDescent="0.3">
      <c r="A5" s="76"/>
      <c r="B5" s="76"/>
      <c r="C5" s="83"/>
      <c r="D5" s="76"/>
      <c r="E5" s="76"/>
      <c r="F5" s="83"/>
      <c r="G5" s="82"/>
      <c r="H5" s="83"/>
      <c r="I5" s="76"/>
      <c r="J5" s="83"/>
      <c r="K5" s="76"/>
      <c r="L5" s="83"/>
      <c r="M5" s="82"/>
      <c r="N5" s="76"/>
    </row>
    <row r="6" spans="1:14" ht="15.6" x14ac:dyDescent="0.3">
      <c r="A6" s="68" t="s">
        <v>26</v>
      </c>
      <c r="B6" s="80"/>
      <c r="C6" s="80"/>
      <c r="D6" s="80">
        <f>'[4]Cost and Consumption by month'!D115</f>
        <v>1462625.79</v>
      </c>
      <c r="E6" s="81">
        <f>D6/D19</f>
        <v>7.9630323314182183E-2</v>
      </c>
      <c r="F6" s="80">
        <f>D6</f>
        <v>1462625.79</v>
      </c>
      <c r="G6" s="77"/>
      <c r="H6" s="68" t="s">
        <v>26</v>
      </c>
      <c r="I6" s="80">
        <f t="shared" ref="I6:I17" si="0">$J$19*E6</f>
        <v>1537364.0443089562</v>
      </c>
      <c r="J6" s="80">
        <f>I6</f>
        <v>1537364.0443089562</v>
      </c>
      <c r="K6" s="80">
        <v>1347960.0533333332</v>
      </c>
      <c r="L6" s="80">
        <f>K6</f>
        <v>1347960.0533333332</v>
      </c>
      <c r="M6" s="77"/>
      <c r="N6" s="69">
        <f t="shared" ref="N6:N17" si="1">+J6-L6</f>
        <v>189403.99097562302</v>
      </c>
    </row>
    <row r="7" spans="1:14" ht="15.6" x14ac:dyDescent="0.3">
      <c r="A7" s="68" t="s">
        <v>25</v>
      </c>
      <c r="B7" s="80"/>
      <c r="C7" s="80"/>
      <c r="D7" s="80">
        <f>'[4]Cost and Consumption by month'!D116</f>
        <v>1493468.5299999998</v>
      </c>
      <c r="E7" s="81">
        <f>D7/D19</f>
        <v>8.1309506995262529E-2</v>
      </c>
      <c r="F7" s="80">
        <f t="shared" ref="F7:F17" si="2">F6+D7</f>
        <v>2956094.32</v>
      </c>
      <c r="G7" s="77"/>
      <c r="H7" s="68" t="s">
        <v>25</v>
      </c>
      <c r="I7" s="80">
        <f t="shared" si="0"/>
        <v>1569782.8077603851</v>
      </c>
      <c r="J7" s="69">
        <f t="shared" ref="J7:J17" si="3">J6+I7</f>
        <v>3107146.8520693416</v>
      </c>
      <c r="K7" s="80">
        <v>1458614.0533333335</v>
      </c>
      <c r="L7" s="80">
        <f t="shared" ref="L7:L17" si="4">L6+K7</f>
        <v>2806574.1066666665</v>
      </c>
      <c r="M7" s="77"/>
      <c r="N7" s="69">
        <f t="shared" si="1"/>
        <v>300572.74540267512</v>
      </c>
    </row>
    <row r="8" spans="1:14" ht="15.6" x14ac:dyDescent="0.3">
      <c r="A8" s="76" t="s">
        <v>24</v>
      </c>
      <c r="B8" s="78"/>
      <c r="C8" s="78"/>
      <c r="D8" s="78">
        <f>'[4]Cost and Consumption by month'!D117</f>
        <v>1684623.94</v>
      </c>
      <c r="E8" s="79">
        <f>D8/D19</f>
        <v>9.1716657754962364E-2</v>
      </c>
      <c r="F8" s="78">
        <f t="shared" si="2"/>
        <v>4640718.26</v>
      </c>
      <c r="G8" s="77"/>
      <c r="H8" s="76" t="s">
        <v>24</v>
      </c>
      <c r="I8" s="78">
        <f t="shared" si="0"/>
        <v>1770706.0078149508</v>
      </c>
      <c r="J8" s="70">
        <f t="shared" si="3"/>
        <v>4877852.8598842919</v>
      </c>
      <c r="K8" s="78">
        <v>1619629.5433333335</v>
      </c>
      <c r="L8" s="78">
        <f t="shared" si="4"/>
        <v>4426203.6500000004</v>
      </c>
      <c r="M8" s="77"/>
      <c r="N8" s="70">
        <f t="shared" si="1"/>
        <v>451649.20988429151</v>
      </c>
    </row>
    <row r="9" spans="1:14" ht="15.6" x14ac:dyDescent="0.3">
      <c r="A9" s="68" t="s">
        <v>23</v>
      </c>
      <c r="B9" s="80"/>
      <c r="C9" s="80"/>
      <c r="D9" s="80">
        <f>'[4]Cost and Consumption by month'!D118</f>
        <v>1708492.04</v>
      </c>
      <c r="E9" s="81">
        <f>D9/D19</f>
        <v>9.3016118309322771E-2</v>
      </c>
      <c r="F9" s="80">
        <f t="shared" si="2"/>
        <v>6349210.2999999998</v>
      </c>
      <c r="G9" s="77"/>
      <c r="H9" s="68" t="s">
        <v>23</v>
      </c>
      <c r="I9" s="80">
        <f t="shared" si="0"/>
        <v>1795793.7363350191</v>
      </c>
      <c r="J9" s="69">
        <f t="shared" si="3"/>
        <v>6673646.5962193105</v>
      </c>
      <c r="K9" s="80">
        <v>1623765.5299999998</v>
      </c>
      <c r="L9" s="80">
        <f t="shared" si="4"/>
        <v>6049969.1799999997</v>
      </c>
      <c r="M9" s="77"/>
      <c r="N9" s="69">
        <f t="shared" si="1"/>
        <v>623677.41621931084</v>
      </c>
    </row>
    <row r="10" spans="1:14" ht="15.6" x14ac:dyDescent="0.3">
      <c r="A10" s="68" t="s">
        <v>22</v>
      </c>
      <c r="B10" s="80"/>
      <c r="C10" s="80"/>
      <c r="D10" s="80">
        <f>'[4]Cost and Consumption by month'!D119</f>
        <v>1566531.4600000002</v>
      </c>
      <c r="E10" s="81">
        <f>D10/D19</f>
        <v>8.528730143725817E-2</v>
      </c>
      <c r="F10" s="80">
        <f t="shared" si="2"/>
        <v>7915741.7599999998</v>
      </c>
      <c r="G10" s="77"/>
      <c r="H10" s="68" t="s">
        <v>22</v>
      </c>
      <c r="I10" s="80">
        <f t="shared" si="0"/>
        <v>1646579.1573952856</v>
      </c>
      <c r="J10" s="69">
        <f t="shared" si="3"/>
        <v>8320225.7536145961</v>
      </c>
      <c r="K10" s="80">
        <v>1590354.3599999999</v>
      </c>
      <c r="L10" s="80">
        <f t="shared" si="4"/>
        <v>7640323.5399999991</v>
      </c>
      <c r="M10" s="77"/>
      <c r="N10" s="69">
        <f t="shared" si="1"/>
        <v>679902.21361459699</v>
      </c>
    </row>
    <row r="11" spans="1:14" ht="15.6" x14ac:dyDescent="0.3">
      <c r="A11" s="76" t="s">
        <v>21</v>
      </c>
      <c r="B11" s="78"/>
      <c r="C11" s="78"/>
      <c r="D11" s="78">
        <f>'[4]Cost and Consumption by month'!D120</f>
        <v>1659539.87</v>
      </c>
      <c r="E11" s="79">
        <f>D11/D19</f>
        <v>9.0350995657526231E-2</v>
      </c>
      <c r="F11" s="78">
        <f t="shared" si="2"/>
        <v>9575281.629999999</v>
      </c>
      <c r="G11" s="77"/>
      <c r="H11" s="76" t="s">
        <v>21</v>
      </c>
      <c r="I11" s="78">
        <f t="shared" si="0"/>
        <v>1744340.1748270551</v>
      </c>
      <c r="J11" s="70">
        <f t="shared" si="3"/>
        <v>10064565.928441651</v>
      </c>
      <c r="K11" s="78">
        <v>1608108.7200000002</v>
      </c>
      <c r="L11" s="78">
        <f t="shared" si="4"/>
        <v>9248432.2599999998</v>
      </c>
      <c r="M11" s="77"/>
      <c r="N11" s="70">
        <f t="shared" si="1"/>
        <v>816133.66844165139</v>
      </c>
    </row>
    <row r="12" spans="1:14" ht="15.6" x14ac:dyDescent="0.3">
      <c r="A12" s="68" t="s">
        <v>20</v>
      </c>
      <c r="B12" s="80"/>
      <c r="C12" s="80"/>
      <c r="D12" s="80">
        <f>'[4]Cost and Consumption by month'!D121</f>
        <v>1309764.8700000001</v>
      </c>
      <c r="E12" s="81">
        <f>D12/D19</f>
        <v>7.130805485363266E-2</v>
      </c>
      <c r="F12" s="80">
        <f t="shared" si="2"/>
        <v>10885046.5</v>
      </c>
      <c r="G12" s="77"/>
      <c r="H12" s="68" t="s">
        <v>20</v>
      </c>
      <c r="I12" s="80">
        <f t="shared" si="0"/>
        <v>1376692.1323307136</v>
      </c>
      <c r="J12" s="69">
        <f t="shared" si="3"/>
        <v>11441258.060772365</v>
      </c>
      <c r="K12" s="80">
        <v>1354763.66</v>
      </c>
      <c r="L12" s="80">
        <f t="shared" si="4"/>
        <v>10603195.92</v>
      </c>
      <c r="M12" s="77"/>
      <c r="N12" s="69">
        <f t="shared" si="1"/>
        <v>838062.14077236503</v>
      </c>
    </row>
    <row r="13" spans="1:14" ht="15.6" x14ac:dyDescent="0.3">
      <c r="A13" s="68" t="s">
        <v>19</v>
      </c>
      <c r="B13" s="80"/>
      <c r="C13" s="80"/>
      <c r="D13" s="80">
        <f>'[4]Cost and Consumption by month'!D122</f>
        <v>1436752.77</v>
      </c>
      <c r="E13" s="81">
        <f>D13/D19</f>
        <v>7.8221708095032857E-2</v>
      </c>
      <c r="F13" s="80">
        <f t="shared" si="2"/>
        <v>12321799.27</v>
      </c>
      <c r="G13" s="77"/>
      <c r="H13" s="68" t="s">
        <v>19</v>
      </c>
      <c r="I13" s="80">
        <f t="shared" si="0"/>
        <v>1510168.9470136415</v>
      </c>
      <c r="J13" s="69">
        <f t="shared" si="3"/>
        <v>12951427.007786006</v>
      </c>
      <c r="K13" s="80">
        <v>1443212.35</v>
      </c>
      <c r="L13" s="80">
        <f t="shared" si="4"/>
        <v>12046408.27</v>
      </c>
      <c r="M13" s="77"/>
      <c r="N13" s="69">
        <f t="shared" si="1"/>
        <v>905018.73778600618</v>
      </c>
    </row>
    <row r="14" spans="1:14" ht="15.6" x14ac:dyDescent="0.3">
      <c r="A14" s="76" t="s">
        <v>18</v>
      </c>
      <c r="B14" s="78"/>
      <c r="C14" s="78"/>
      <c r="D14" s="78">
        <f>'[4]Cost and Consumption by month'!D123</f>
        <v>1459204.6199999999</v>
      </c>
      <c r="E14" s="79">
        <f>D14/D19</f>
        <v>7.9444063181839802E-2</v>
      </c>
      <c r="F14" s="78">
        <f t="shared" si="2"/>
        <v>13781003.889999999</v>
      </c>
      <c r="G14" s="77"/>
      <c r="H14" s="76" t="s">
        <v>18</v>
      </c>
      <c r="I14" s="78">
        <f t="shared" si="0"/>
        <v>1533768.0570212791</v>
      </c>
      <c r="J14" s="70">
        <f t="shared" si="3"/>
        <v>14485195.064807285</v>
      </c>
      <c r="K14" s="103">
        <v>1534005.6800000002</v>
      </c>
      <c r="L14" s="78">
        <f t="shared" si="4"/>
        <v>13580413.949999999</v>
      </c>
      <c r="M14" s="77"/>
      <c r="N14" s="70">
        <f t="shared" si="1"/>
        <v>904781.11480728537</v>
      </c>
    </row>
    <row r="15" spans="1:14" ht="15.6" x14ac:dyDescent="0.3">
      <c r="A15" s="68" t="s">
        <v>17</v>
      </c>
      <c r="B15" s="80"/>
      <c r="C15" s="80"/>
      <c r="D15" s="80">
        <f>'[4]Cost and Consumption by month'!D124</f>
        <v>1605753.03</v>
      </c>
      <c r="E15" s="81">
        <f>D15/D19</f>
        <v>8.7422657125188319E-2</v>
      </c>
      <c r="F15" s="80">
        <f t="shared" si="2"/>
        <v>15386756.919999998</v>
      </c>
      <c r="G15" s="77"/>
      <c r="H15" s="68" t="s">
        <v>17</v>
      </c>
      <c r="I15" s="80">
        <f t="shared" si="0"/>
        <v>1687804.8980403668</v>
      </c>
      <c r="J15" s="69">
        <f t="shared" si="3"/>
        <v>16172999.962847652</v>
      </c>
      <c r="K15" s="96">
        <v>1489784</v>
      </c>
      <c r="L15" s="80">
        <f t="shared" si="4"/>
        <v>15070197.949999999</v>
      </c>
      <c r="M15" s="77"/>
      <c r="N15" s="69">
        <f t="shared" si="1"/>
        <v>1102802.0128476527</v>
      </c>
    </row>
    <row r="16" spans="1:14" ht="15.6" x14ac:dyDescent="0.3">
      <c r="A16" s="68" t="s">
        <v>16</v>
      </c>
      <c r="B16" s="80"/>
      <c r="C16" s="80"/>
      <c r="D16" s="80">
        <f>'[4]Cost and Consumption by month'!D125</f>
        <v>1562596.23</v>
      </c>
      <c r="E16" s="81">
        <f>D16/D19</f>
        <v>8.5073054129875689E-2</v>
      </c>
      <c r="F16" s="80">
        <f t="shared" si="2"/>
        <v>16949353.149999999</v>
      </c>
      <c r="G16" s="77"/>
      <c r="H16" s="68" t="s">
        <v>16</v>
      </c>
      <c r="I16" s="80">
        <f t="shared" si="0"/>
        <v>1642442.8423176704</v>
      </c>
      <c r="J16" s="69">
        <f t="shared" si="3"/>
        <v>17815442.805165321</v>
      </c>
      <c r="K16" s="96">
        <v>1414082</v>
      </c>
      <c r="L16" s="80">
        <f t="shared" si="4"/>
        <v>16484279.949999999</v>
      </c>
      <c r="M16" s="77"/>
      <c r="N16" s="69">
        <f t="shared" si="1"/>
        <v>1331162.8551653214</v>
      </c>
    </row>
    <row r="17" spans="1:14" ht="15.6" x14ac:dyDescent="0.3">
      <c r="A17" s="76" t="s">
        <v>15</v>
      </c>
      <c r="B17" s="78"/>
      <c r="C17" s="78"/>
      <c r="D17" s="78">
        <f>'[4]Cost and Consumption by month'!D126</f>
        <v>1418345.5999999999</v>
      </c>
      <c r="E17" s="79">
        <f>D17/D19</f>
        <v>7.7219559145916411E-2</v>
      </c>
      <c r="F17" s="78">
        <f t="shared" si="2"/>
        <v>18367698.75</v>
      </c>
      <c r="G17" s="77"/>
      <c r="H17" s="76" t="s">
        <v>15</v>
      </c>
      <c r="I17" s="78">
        <f t="shared" si="0"/>
        <v>1490821.1948346768</v>
      </c>
      <c r="J17" s="70">
        <f t="shared" si="3"/>
        <v>19306263.999999996</v>
      </c>
      <c r="K17" s="127">
        <v>2388819</v>
      </c>
      <c r="L17" s="78">
        <f t="shared" si="4"/>
        <v>18873098.949999999</v>
      </c>
      <c r="M17" s="77" t="s">
        <v>225</v>
      </c>
      <c r="N17" s="70">
        <f t="shared" si="1"/>
        <v>433165.04999999702</v>
      </c>
    </row>
    <row r="18" spans="1:14" x14ac:dyDescent="0.25">
      <c r="G18" s="75"/>
      <c r="M18" s="75"/>
    </row>
    <row r="19" spans="1:14" x14ac:dyDescent="0.25">
      <c r="A19" s="74" t="s">
        <v>14</v>
      </c>
      <c r="C19" s="69">
        <v>20781460</v>
      </c>
      <c r="D19" s="69">
        <f>SUM(D6:D18)</f>
        <v>18367698.75</v>
      </c>
      <c r="E19" s="73">
        <f>SUM(E6:E18)</f>
        <v>0.99999999999999978</v>
      </c>
      <c r="I19" s="69">
        <f>SUM(I6:I18)</f>
        <v>19306263.999999996</v>
      </c>
      <c r="J19" s="69">
        <v>19306264</v>
      </c>
    </row>
    <row r="21" spans="1:14" x14ac:dyDescent="0.25">
      <c r="A21" s="68" t="s">
        <v>13</v>
      </c>
      <c r="D21" s="69">
        <v>19305615.75</v>
      </c>
      <c r="J21" s="94"/>
      <c r="K21" s="95" t="s">
        <v>305</v>
      </c>
    </row>
    <row r="22" spans="1:14" x14ac:dyDescent="0.25">
      <c r="D22" s="72"/>
      <c r="J22" s="128">
        <v>800000</v>
      </c>
      <c r="K22" s="95" t="s">
        <v>306</v>
      </c>
    </row>
    <row r="23" spans="1:14" ht="18.75" x14ac:dyDescent="0.3">
      <c r="C23" s="71"/>
      <c r="D23" s="69"/>
    </row>
    <row r="24" spans="1:14" x14ac:dyDescent="0.25">
      <c r="D24" s="69"/>
      <c r="F24" s="97" t="s">
        <v>226</v>
      </c>
      <c r="G24" s="68" t="s">
        <v>227</v>
      </c>
    </row>
    <row r="25" spans="1:14" x14ac:dyDescent="0.25">
      <c r="D25" s="69"/>
      <c r="G25" s="98" t="s">
        <v>228</v>
      </c>
    </row>
    <row r="26" spans="1:14" ht="18.75" x14ac:dyDescent="0.3">
      <c r="D26" s="69"/>
      <c r="G26" s="104" t="s">
        <v>259</v>
      </c>
      <c r="H26" s="104" t="s">
        <v>260</v>
      </c>
    </row>
    <row r="27" spans="1:14" ht="18.75" x14ac:dyDescent="0.3">
      <c r="D27" s="69"/>
      <c r="G27" s="104"/>
      <c r="H27" s="104" t="s">
        <v>261</v>
      </c>
    </row>
  </sheetData>
  <mergeCells count="6">
    <mergeCell ref="B2:F2"/>
    <mergeCell ref="I2:L2"/>
    <mergeCell ref="B3:C3"/>
    <mergeCell ref="D3:F3"/>
    <mergeCell ref="I3:J3"/>
    <mergeCell ref="K3:L3"/>
  </mergeCells>
  <pageMargins left="0.7" right="0.7" top="0.57999999999999996" bottom="0.59" header="0.21" footer="0.3"/>
  <pageSetup scale="73" fitToWidth="2" orientation="landscape" r:id="rId1"/>
  <headerFooter>
    <oddHeader>&amp;C&amp;"-,Bold"&amp;12&amp;K000000Utilities
 FY 2012 Projections</oddHeader>
    <oddFooter>&amp;L&amp;F&amp;CPrinted on &amp;D,  &amp;P of &amp;N&amp;RLarry S. Fodor</oddFooter>
  </headerFooter>
  <colBreaks count="1" manualBreakCount="1">
    <brk id="1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5"/>
  <sheetViews>
    <sheetView tabSelected="1" zoomScale="90" zoomScaleNormal="90" zoomScaleSheetLayoutView="80" workbookViewId="0">
      <selection activeCell="F8" sqref="F8"/>
    </sheetView>
  </sheetViews>
  <sheetFormatPr defaultRowHeight="15" x14ac:dyDescent="0.25"/>
  <cols>
    <col min="1" max="1" width="9.5703125" style="5" bestFit="1" customWidth="1"/>
    <col min="2" max="2" width="13.5703125" customWidth="1"/>
    <col min="3" max="3" width="10.7109375" bestFit="1" customWidth="1"/>
    <col min="4" max="4" width="5.140625" customWidth="1"/>
  </cols>
  <sheetData>
    <row r="2" spans="1:7" ht="71.45" customHeight="1" x14ac:dyDescent="0.3">
      <c r="A2" s="5" t="s">
        <v>42</v>
      </c>
      <c r="B2" s="6" t="s">
        <v>547</v>
      </c>
      <c r="C2" t="s">
        <v>6</v>
      </c>
      <c r="E2" s="5" t="s">
        <v>42</v>
      </c>
      <c r="F2" s="6" t="s">
        <v>548</v>
      </c>
      <c r="G2" t="s">
        <v>6</v>
      </c>
    </row>
    <row r="3" spans="1:7" ht="14.45" x14ac:dyDescent="0.3">
      <c r="A3" s="5">
        <v>41583</v>
      </c>
      <c r="B3" s="254">
        <v>0</v>
      </c>
      <c r="C3" s="254">
        <v>0.04</v>
      </c>
      <c r="E3" s="5">
        <v>41876</v>
      </c>
      <c r="F3" s="254">
        <v>0</v>
      </c>
      <c r="G3" s="254"/>
    </row>
    <row r="4" spans="1:7" ht="14.45" x14ac:dyDescent="0.3">
      <c r="A4" s="5">
        <f>A3+7</f>
        <v>41590</v>
      </c>
      <c r="B4" s="254">
        <v>0</v>
      </c>
      <c r="C4" s="254">
        <v>0.08</v>
      </c>
      <c r="E4" s="5">
        <f>E3+7</f>
        <v>41883</v>
      </c>
      <c r="F4" s="254">
        <v>0.09</v>
      </c>
      <c r="G4" s="254"/>
    </row>
    <row r="5" spans="1:7" ht="14.45" x14ac:dyDescent="0.3">
      <c r="A5" s="5">
        <f t="shared" ref="A5:A45" si="0">A4+7</f>
        <v>41597</v>
      </c>
      <c r="B5" s="254">
        <v>0</v>
      </c>
      <c r="C5" s="254">
        <v>0.12</v>
      </c>
      <c r="E5" s="5">
        <f t="shared" ref="E5:E39" si="1">E4+7</f>
        <v>41890</v>
      </c>
      <c r="F5" s="254">
        <v>0.19</v>
      </c>
      <c r="G5" s="254"/>
    </row>
    <row r="6" spans="1:7" ht="14.45" x14ac:dyDescent="0.3">
      <c r="A6" s="5">
        <f t="shared" si="0"/>
        <v>41604</v>
      </c>
      <c r="B6" s="254">
        <v>0.2</v>
      </c>
      <c r="C6" s="254">
        <v>0.16</v>
      </c>
      <c r="E6" s="5">
        <f t="shared" si="1"/>
        <v>41897</v>
      </c>
      <c r="F6" s="254">
        <v>0.19</v>
      </c>
      <c r="G6" s="254"/>
    </row>
    <row r="7" spans="1:7" ht="14.45" x14ac:dyDescent="0.3">
      <c r="A7" s="5">
        <f t="shared" si="0"/>
        <v>41611</v>
      </c>
      <c r="B7" s="254">
        <v>0.26</v>
      </c>
      <c r="C7" s="254">
        <v>0.2</v>
      </c>
      <c r="E7" s="5">
        <f t="shared" si="1"/>
        <v>41904</v>
      </c>
      <c r="F7" s="254"/>
      <c r="G7" s="254"/>
    </row>
    <row r="8" spans="1:7" ht="14.45" x14ac:dyDescent="0.3">
      <c r="A8" s="5">
        <f t="shared" si="0"/>
        <v>41618</v>
      </c>
      <c r="B8" s="254">
        <v>0.26</v>
      </c>
      <c r="C8" s="254">
        <v>0.24</v>
      </c>
      <c r="E8" s="5">
        <f t="shared" si="1"/>
        <v>41911</v>
      </c>
      <c r="F8" s="254"/>
      <c r="G8" s="254"/>
    </row>
    <row r="9" spans="1:7" ht="14.45" x14ac:dyDescent="0.3">
      <c r="A9" s="5">
        <f t="shared" si="0"/>
        <v>41625</v>
      </c>
      <c r="B9" s="254">
        <v>0.26</v>
      </c>
      <c r="C9" s="254">
        <v>0.28000000000000003</v>
      </c>
      <c r="E9" s="5">
        <f t="shared" si="1"/>
        <v>41918</v>
      </c>
      <c r="F9" s="254"/>
      <c r="G9" s="254"/>
    </row>
    <row r="10" spans="1:7" ht="14.45" x14ac:dyDescent="0.3">
      <c r="A10" s="5">
        <f t="shared" si="0"/>
        <v>41632</v>
      </c>
      <c r="B10" s="254">
        <v>0.26</v>
      </c>
      <c r="C10" s="254">
        <v>0.32</v>
      </c>
      <c r="E10" s="5">
        <f t="shared" si="1"/>
        <v>41925</v>
      </c>
      <c r="F10" s="254"/>
      <c r="G10" s="254"/>
    </row>
    <row r="11" spans="1:7" ht="14.45" x14ac:dyDescent="0.3">
      <c r="A11" s="5">
        <f t="shared" si="0"/>
        <v>41639</v>
      </c>
      <c r="B11" s="254">
        <v>0.26</v>
      </c>
      <c r="C11" s="254">
        <v>0.36</v>
      </c>
      <c r="E11" s="5">
        <f t="shared" si="1"/>
        <v>41932</v>
      </c>
      <c r="F11" s="254"/>
      <c r="G11" s="254"/>
    </row>
    <row r="12" spans="1:7" ht="14.45" x14ac:dyDescent="0.3">
      <c r="A12" s="5">
        <f t="shared" si="0"/>
        <v>41646</v>
      </c>
      <c r="B12" s="254">
        <v>0.38</v>
      </c>
      <c r="C12" s="254">
        <v>0.4</v>
      </c>
      <c r="E12" s="5">
        <f t="shared" si="1"/>
        <v>41939</v>
      </c>
      <c r="F12" s="254"/>
      <c r="G12" s="254"/>
    </row>
    <row r="13" spans="1:7" ht="14.45" x14ac:dyDescent="0.3">
      <c r="A13" s="5">
        <f t="shared" si="0"/>
        <v>41653</v>
      </c>
      <c r="B13" s="254">
        <v>0.38</v>
      </c>
      <c r="C13" s="254">
        <v>0.44</v>
      </c>
      <c r="E13" s="5">
        <f t="shared" si="1"/>
        <v>41946</v>
      </c>
      <c r="F13" s="254"/>
      <c r="G13" s="254">
        <v>0.25</v>
      </c>
    </row>
    <row r="14" spans="1:7" x14ac:dyDescent="0.25">
      <c r="A14" s="5">
        <f t="shared" si="0"/>
        <v>41660</v>
      </c>
      <c r="B14" s="254">
        <v>0.38</v>
      </c>
      <c r="C14" s="254">
        <v>0.48</v>
      </c>
      <c r="E14" s="5">
        <f t="shared" si="1"/>
        <v>41953</v>
      </c>
      <c r="F14" s="254"/>
      <c r="G14" s="254"/>
    </row>
    <row r="15" spans="1:7" x14ac:dyDescent="0.25">
      <c r="A15" s="5">
        <f t="shared" si="0"/>
        <v>41667</v>
      </c>
      <c r="B15" s="254">
        <v>0.38</v>
      </c>
      <c r="C15" s="254">
        <v>0.52</v>
      </c>
      <c r="E15" s="5">
        <f t="shared" si="1"/>
        <v>41960</v>
      </c>
      <c r="F15" s="254"/>
      <c r="G15" s="254"/>
    </row>
    <row r="16" spans="1:7" x14ac:dyDescent="0.25">
      <c r="A16" s="5">
        <f t="shared" si="0"/>
        <v>41674</v>
      </c>
      <c r="B16" s="254">
        <v>0.38</v>
      </c>
      <c r="C16" s="254">
        <v>0.56000000000000005</v>
      </c>
      <c r="E16" s="5">
        <f t="shared" si="1"/>
        <v>41967</v>
      </c>
      <c r="F16" s="254"/>
      <c r="G16" s="254"/>
    </row>
    <row r="17" spans="1:7" x14ac:dyDescent="0.25">
      <c r="A17" s="5">
        <f t="shared" si="0"/>
        <v>41681</v>
      </c>
      <c r="B17" s="254">
        <v>0.38</v>
      </c>
      <c r="C17" s="254">
        <v>0.6</v>
      </c>
      <c r="E17" s="5">
        <f t="shared" si="1"/>
        <v>41974</v>
      </c>
      <c r="F17" s="254"/>
      <c r="G17" s="254"/>
    </row>
    <row r="18" spans="1:7" x14ac:dyDescent="0.25">
      <c r="A18" s="5">
        <f t="shared" si="0"/>
        <v>41688</v>
      </c>
      <c r="B18" s="254">
        <v>0.38</v>
      </c>
      <c r="C18" s="254">
        <v>0.64</v>
      </c>
      <c r="E18" s="5">
        <f t="shared" si="1"/>
        <v>41981</v>
      </c>
      <c r="F18" s="254"/>
      <c r="G18" s="254"/>
    </row>
    <row r="19" spans="1:7" x14ac:dyDescent="0.25">
      <c r="A19" s="5">
        <f t="shared" si="0"/>
        <v>41695</v>
      </c>
      <c r="B19" s="254">
        <v>0.38</v>
      </c>
      <c r="C19" s="254">
        <v>0.68</v>
      </c>
      <c r="E19" s="5">
        <f t="shared" si="1"/>
        <v>41988</v>
      </c>
      <c r="F19" s="254"/>
      <c r="G19" s="254"/>
    </row>
    <row r="20" spans="1:7" x14ac:dyDescent="0.25">
      <c r="A20" s="5">
        <f t="shared" si="0"/>
        <v>41702</v>
      </c>
      <c r="B20" s="254">
        <v>0.47</v>
      </c>
      <c r="C20" s="254">
        <v>0.72</v>
      </c>
      <c r="E20" s="5">
        <f t="shared" si="1"/>
        <v>41995</v>
      </c>
      <c r="F20" s="254"/>
      <c r="G20" s="254"/>
    </row>
    <row r="21" spans="1:7" x14ac:dyDescent="0.25">
      <c r="A21" s="5">
        <f t="shared" si="0"/>
        <v>41709</v>
      </c>
      <c r="B21" s="254">
        <v>0.49</v>
      </c>
      <c r="C21" s="254">
        <v>0.76</v>
      </c>
      <c r="E21" s="5">
        <f t="shared" si="1"/>
        <v>42002</v>
      </c>
      <c r="F21" s="254"/>
      <c r="G21" s="254"/>
    </row>
    <row r="22" spans="1:7" x14ac:dyDescent="0.25">
      <c r="A22" s="5">
        <f t="shared" si="0"/>
        <v>41716</v>
      </c>
      <c r="B22" s="254">
        <v>0.57999999999999996</v>
      </c>
      <c r="C22" s="254">
        <v>0.8</v>
      </c>
      <c r="E22" s="5">
        <f t="shared" si="1"/>
        <v>42009</v>
      </c>
      <c r="F22" s="254"/>
      <c r="G22" s="254">
        <v>0.5</v>
      </c>
    </row>
    <row r="23" spans="1:7" x14ac:dyDescent="0.25">
      <c r="A23" s="5">
        <f t="shared" si="0"/>
        <v>41723</v>
      </c>
      <c r="B23" s="254">
        <v>0.62</v>
      </c>
      <c r="C23" s="254">
        <v>0.84</v>
      </c>
      <c r="E23" s="5">
        <f t="shared" si="1"/>
        <v>42016</v>
      </c>
      <c r="F23" s="254"/>
      <c r="G23" s="254"/>
    </row>
    <row r="24" spans="1:7" x14ac:dyDescent="0.25">
      <c r="A24" s="5">
        <f t="shared" si="0"/>
        <v>41730</v>
      </c>
      <c r="B24" s="254">
        <v>0.66</v>
      </c>
      <c r="C24" s="254">
        <v>0.88</v>
      </c>
      <c r="E24" s="5">
        <f t="shared" si="1"/>
        <v>42023</v>
      </c>
      <c r="F24" s="254"/>
      <c r="G24" s="254"/>
    </row>
    <row r="25" spans="1:7" x14ac:dyDescent="0.25">
      <c r="A25" s="5">
        <f t="shared" si="0"/>
        <v>41737</v>
      </c>
      <c r="B25" s="254">
        <v>0.71</v>
      </c>
      <c r="C25" s="254">
        <v>0.92</v>
      </c>
      <c r="E25" s="5">
        <f t="shared" si="1"/>
        <v>42030</v>
      </c>
      <c r="F25" s="254"/>
      <c r="G25" s="254"/>
    </row>
    <row r="26" spans="1:7" x14ac:dyDescent="0.25">
      <c r="A26" s="5">
        <f t="shared" si="0"/>
        <v>41744</v>
      </c>
      <c r="B26" s="254">
        <v>0.71</v>
      </c>
      <c r="C26" s="254">
        <v>0.96</v>
      </c>
      <c r="E26" s="5">
        <f t="shared" si="1"/>
        <v>42037</v>
      </c>
      <c r="F26" s="254"/>
      <c r="G26" s="254"/>
    </row>
    <row r="27" spans="1:7" x14ac:dyDescent="0.25">
      <c r="A27" s="5">
        <f t="shared" si="0"/>
        <v>41751</v>
      </c>
      <c r="B27" s="254">
        <v>0.73</v>
      </c>
      <c r="C27" s="254">
        <v>0.99</v>
      </c>
      <c r="E27" s="5">
        <f t="shared" si="1"/>
        <v>42044</v>
      </c>
      <c r="F27" s="254"/>
      <c r="G27" s="254"/>
    </row>
    <row r="28" spans="1:7" x14ac:dyDescent="0.25">
      <c r="A28" s="5">
        <f t="shared" si="0"/>
        <v>41758</v>
      </c>
      <c r="B28" s="254">
        <v>0.74</v>
      </c>
      <c r="C28" s="254">
        <v>1</v>
      </c>
      <c r="E28" s="5">
        <f t="shared" si="1"/>
        <v>42051</v>
      </c>
      <c r="F28" s="254"/>
      <c r="G28" s="254"/>
    </row>
    <row r="29" spans="1:7" x14ac:dyDescent="0.25">
      <c r="A29" s="5">
        <f t="shared" si="0"/>
        <v>41765</v>
      </c>
      <c r="B29" s="254">
        <v>0.76</v>
      </c>
      <c r="C29" s="254">
        <v>1</v>
      </c>
      <c r="E29" s="5">
        <f t="shared" si="1"/>
        <v>42058</v>
      </c>
      <c r="F29" s="254"/>
      <c r="G29" s="254"/>
    </row>
    <row r="30" spans="1:7" x14ac:dyDescent="0.25">
      <c r="A30" s="5">
        <f t="shared" si="0"/>
        <v>41772</v>
      </c>
      <c r="B30" s="254">
        <v>0.78</v>
      </c>
      <c r="C30" s="254">
        <v>1</v>
      </c>
      <c r="E30" s="5">
        <f t="shared" si="1"/>
        <v>42065</v>
      </c>
      <c r="F30" s="254"/>
      <c r="G30" s="254">
        <v>0.75</v>
      </c>
    </row>
    <row r="31" spans="1:7" x14ac:dyDescent="0.25">
      <c r="A31" s="5">
        <f t="shared" si="0"/>
        <v>41779</v>
      </c>
      <c r="B31" s="254">
        <v>0.79</v>
      </c>
      <c r="C31" s="254">
        <v>1</v>
      </c>
      <c r="E31" s="5">
        <f t="shared" si="1"/>
        <v>42072</v>
      </c>
      <c r="F31" s="254"/>
      <c r="G31" s="254"/>
    </row>
    <row r="32" spans="1:7" x14ac:dyDescent="0.25">
      <c r="A32" s="5">
        <f t="shared" si="0"/>
        <v>41786</v>
      </c>
      <c r="B32" s="254">
        <v>0.82</v>
      </c>
      <c r="C32" s="254">
        <v>1</v>
      </c>
      <c r="E32" s="5">
        <f t="shared" si="1"/>
        <v>42079</v>
      </c>
      <c r="F32" s="254"/>
      <c r="G32" s="254"/>
    </row>
    <row r="33" spans="1:7" x14ac:dyDescent="0.25">
      <c r="A33" s="5">
        <f t="shared" si="0"/>
        <v>41793</v>
      </c>
      <c r="B33" s="254">
        <v>0.83</v>
      </c>
      <c r="C33" s="254">
        <v>1</v>
      </c>
      <c r="E33" s="5">
        <f t="shared" si="1"/>
        <v>42086</v>
      </c>
      <c r="F33" s="254"/>
      <c r="G33" s="254"/>
    </row>
    <row r="34" spans="1:7" x14ac:dyDescent="0.25">
      <c r="A34" s="5">
        <f t="shared" si="0"/>
        <v>41800</v>
      </c>
      <c r="B34" s="254">
        <v>0.85</v>
      </c>
      <c r="C34" s="254">
        <v>1</v>
      </c>
      <c r="E34" s="5">
        <f t="shared" si="1"/>
        <v>42093</v>
      </c>
      <c r="F34" s="254"/>
      <c r="G34" s="254"/>
    </row>
    <row r="35" spans="1:7" x14ac:dyDescent="0.25">
      <c r="A35" s="5">
        <f t="shared" si="0"/>
        <v>41807</v>
      </c>
      <c r="B35" s="254">
        <v>0.86</v>
      </c>
      <c r="C35" s="254">
        <v>1</v>
      </c>
      <c r="E35" s="5">
        <f t="shared" si="1"/>
        <v>42100</v>
      </c>
      <c r="F35" s="254"/>
      <c r="G35" s="254"/>
    </row>
    <row r="36" spans="1:7" x14ac:dyDescent="0.25">
      <c r="A36" s="5">
        <f t="shared" si="0"/>
        <v>41814</v>
      </c>
      <c r="B36" s="254">
        <v>0.87</v>
      </c>
      <c r="C36" s="254">
        <v>1</v>
      </c>
      <c r="E36" s="5">
        <f t="shared" si="1"/>
        <v>42107</v>
      </c>
      <c r="F36" s="254"/>
      <c r="G36" s="254"/>
    </row>
    <row r="37" spans="1:7" x14ac:dyDescent="0.25">
      <c r="A37" s="5">
        <f t="shared" si="0"/>
        <v>41821</v>
      </c>
      <c r="B37" s="254">
        <v>0.91</v>
      </c>
      <c r="C37" s="254">
        <v>1</v>
      </c>
      <c r="E37" s="5">
        <f t="shared" si="1"/>
        <v>42114</v>
      </c>
      <c r="F37" s="254"/>
      <c r="G37" s="254"/>
    </row>
    <row r="38" spans="1:7" x14ac:dyDescent="0.25">
      <c r="A38" s="5">
        <f t="shared" si="0"/>
        <v>41828</v>
      </c>
      <c r="B38" s="254">
        <v>0.91</v>
      </c>
      <c r="C38" s="254">
        <v>1</v>
      </c>
      <c r="E38" s="5">
        <f t="shared" si="1"/>
        <v>42121</v>
      </c>
      <c r="F38" s="254"/>
      <c r="G38" s="254"/>
    </row>
    <row r="39" spans="1:7" x14ac:dyDescent="0.25">
      <c r="A39" s="5">
        <f t="shared" si="0"/>
        <v>41835</v>
      </c>
      <c r="B39" s="254">
        <v>0.91</v>
      </c>
      <c r="C39" s="254">
        <v>1</v>
      </c>
      <c r="E39" s="5">
        <f t="shared" si="1"/>
        <v>42128</v>
      </c>
      <c r="F39" s="254"/>
      <c r="G39" s="254">
        <v>1</v>
      </c>
    </row>
    <row r="40" spans="1:7" x14ac:dyDescent="0.25">
      <c r="A40" s="5">
        <f t="shared" si="0"/>
        <v>41842</v>
      </c>
      <c r="B40" s="254">
        <v>0.92</v>
      </c>
      <c r="C40" s="254">
        <v>1</v>
      </c>
      <c r="E40" s="5"/>
      <c r="F40" s="254"/>
      <c r="G40" s="254"/>
    </row>
    <row r="41" spans="1:7" x14ac:dyDescent="0.25">
      <c r="A41" s="5">
        <f t="shared" si="0"/>
        <v>41849</v>
      </c>
      <c r="B41" s="254">
        <v>0.92</v>
      </c>
      <c r="C41" s="254">
        <v>1</v>
      </c>
      <c r="E41" s="5"/>
      <c r="F41" s="254"/>
      <c r="G41" s="254"/>
    </row>
    <row r="42" spans="1:7" x14ac:dyDescent="0.25">
      <c r="A42" s="5">
        <f t="shared" si="0"/>
        <v>41856</v>
      </c>
      <c r="B42" s="254">
        <v>0.93</v>
      </c>
      <c r="C42" s="254">
        <v>1</v>
      </c>
      <c r="E42" s="5"/>
      <c r="F42" s="254"/>
      <c r="G42" s="254"/>
    </row>
    <row r="43" spans="1:7" x14ac:dyDescent="0.25">
      <c r="A43" s="5">
        <f t="shared" si="0"/>
        <v>41863</v>
      </c>
      <c r="B43" s="254">
        <v>0.94</v>
      </c>
      <c r="C43" s="254">
        <v>1</v>
      </c>
      <c r="E43" s="5"/>
      <c r="F43" s="254"/>
      <c r="G43" s="254"/>
    </row>
    <row r="44" spans="1:7" x14ac:dyDescent="0.25">
      <c r="A44" s="5">
        <f t="shared" si="0"/>
        <v>41870</v>
      </c>
      <c r="B44" s="254">
        <v>0.94</v>
      </c>
      <c r="C44" s="254">
        <v>1</v>
      </c>
      <c r="E44" s="5"/>
      <c r="F44" s="254"/>
      <c r="G44" s="254"/>
    </row>
    <row r="45" spans="1:7" x14ac:dyDescent="0.25">
      <c r="A45" s="5">
        <f t="shared" si="0"/>
        <v>41877</v>
      </c>
      <c r="B45" s="254">
        <v>0.95</v>
      </c>
      <c r="C45" s="254">
        <v>1</v>
      </c>
      <c r="E45" s="5"/>
      <c r="F45" s="254"/>
      <c r="G45" s="254"/>
    </row>
  </sheetData>
  <pageMargins left="0.7" right="0.7" top="0.75" bottom="0.75" header="0.3" footer="0.3"/>
  <pageSetup orientation="landscape" r:id="rId1"/>
  <colBreaks count="1" manualBreakCount="1">
    <brk id="16" max="39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="80" zoomScaleNormal="80" workbookViewId="0">
      <selection activeCell="B15" sqref="B15"/>
    </sheetView>
  </sheetViews>
  <sheetFormatPr defaultRowHeight="15" x14ac:dyDescent="0.25"/>
  <cols>
    <col min="1" max="1" width="8.28515625" customWidth="1"/>
    <col min="2" max="2" width="10.42578125" customWidth="1"/>
    <col min="3" max="3" width="15" bestFit="1" customWidth="1"/>
  </cols>
  <sheetData>
    <row r="1" spans="1:8" s="30" customFormat="1" ht="15.6" x14ac:dyDescent="0.3">
      <c r="A1" s="30" t="s">
        <v>510</v>
      </c>
      <c r="F1" s="30" t="s">
        <v>40</v>
      </c>
      <c r="H1" s="30" t="s">
        <v>41</v>
      </c>
    </row>
    <row r="2" spans="1:8" ht="14.45" x14ac:dyDescent="0.3">
      <c r="C2" t="s">
        <v>38</v>
      </c>
    </row>
    <row r="3" spans="1:8" ht="14.45" x14ac:dyDescent="0.3">
      <c r="A3" s="13">
        <v>41699</v>
      </c>
      <c r="B3" s="29">
        <v>4.2</v>
      </c>
      <c r="C3" s="29">
        <v>4</v>
      </c>
    </row>
    <row r="4" spans="1:8" ht="14.45" x14ac:dyDescent="0.3">
      <c r="A4" s="13">
        <v>41730</v>
      </c>
      <c r="B4" s="29"/>
      <c r="C4" s="29">
        <v>0</v>
      </c>
    </row>
    <row r="5" spans="1:8" ht="14.45" x14ac:dyDescent="0.3">
      <c r="A5" s="13">
        <v>41760</v>
      </c>
      <c r="B5" s="29"/>
      <c r="C5" s="29">
        <v>0</v>
      </c>
    </row>
    <row r="6" spans="1:8" ht="14.45" x14ac:dyDescent="0.3">
      <c r="A6" s="13">
        <v>41791</v>
      </c>
      <c r="B6" s="29">
        <v>4.08</v>
      </c>
      <c r="C6" s="29">
        <v>2</v>
      </c>
    </row>
    <row r="7" spans="1:8" ht="14.45" x14ac:dyDescent="0.3">
      <c r="A7" s="13">
        <v>41821</v>
      </c>
      <c r="B7" s="29">
        <v>5</v>
      </c>
      <c r="C7" s="29">
        <v>2</v>
      </c>
    </row>
    <row r="8" spans="1:8" ht="14.45" x14ac:dyDescent="0.3">
      <c r="A8" s="13">
        <v>41852</v>
      </c>
      <c r="B8" s="29">
        <v>5</v>
      </c>
      <c r="C8" s="29">
        <v>1</v>
      </c>
    </row>
    <row r="9" spans="1:8" ht="14.45" x14ac:dyDescent="0.3">
      <c r="A9" s="13">
        <v>41883</v>
      </c>
    </row>
  </sheetData>
  <pageMargins left="0.25" right="0.25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="80" zoomScaleNormal="80" workbookViewId="0">
      <selection activeCell="B37" sqref="B37"/>
    </sheetView>
  </sheetViews>
  <sheetFormatPr defaultRowHeight="15" x14ac:dyDescent="0.25"/>
  <cols>
    <col min="1" max="1" width="8.28515625" customWidth="1"/>
    <col min="2" max="2" width="10.42578125" customWidth="1"/>
    <col min="3" max="3" width="15" bestFit="1" customWidth="1"/>
  </cols>
  <sheetData>
    <row r="1" spans="1:8" s="30" customFormat="1" ht="15.6" x14ac:dyDescent="0.3">
      <c r="A1" s="30" t="s">
        <v>51</v>
      </c>
      <c r="F1" s="30" t="s">
        <v>40</v>
      </c>
      <c r="H1" s="30" t="s">
        <v>41</v>
      </c>
    </row>
    <row r="2" spans="1:8" ht="14.45" x14ac:dyDescent="0.3">
      <c r="C2" t="s">
        <v>38</v>
      </c>
    </row>
    <row r="3" spans="1:8" ht="14.45" x14ac:dyDescent="0.3">
      <c r="A3" s="13">
        <v>40909</v>
      </c>
      <c r="B3" s="29">
        <v>4.16</v>
      </c>
      <c r="C3" s="29">
        <v>6</v>
      </c>
    </row>
    <row r="4" spans="1:8" ht="14.45" x14ac:dyDescent="0.3">
      <c r="A4" s="13">
        <v>40940</v>
      </c>
      <c r="B4" s="29">
        <v>3.65</v>
      </c>
      <c r="C4" s="29">
        <v>23</v>
      </c>
    </row>
    <row r="5" spans="1:8" ht="14.45" x14ac:dyDescent="0.3">
      <c r="A5" s="13">
        <v>40969</v>
      </c>
      <c r="B5" s="29">
        <v>4.1399999999999997</v>
      </c>
      <c r="C5" s="29">
        <v>14</v>
      </c>
    </row>
    <row r="6" spans="1:8" ht="14.45" x14ac:dyDescent="0.3">
      <c r="A6" s="13">
        <v>41000</v>
      </c>
      <c r="B6" s="29">
        <v>4.4800000000000004</v>
      </c>
      <c r="C6" s="29">
        <v>15</v>
      </c>
    </row>
    <row r="7" spans="1:8" ht="14.45" x14ac:dyDescent="0.3">
      <c r="A7" s="13">
        <v>41030</v>
      </c>
      <c r="B7" s="29">
        <v>3.81</v>
      </c>
      <c r="C7" s="29">
        <v>9</v>
      </c>
    </row>
    <row r="8" spans="1:8" ht="14.45" x14ac:dyDescent="0.3">
      <c r="A8" s="13">
        <v>41061</v>
      </c>
      <c r="B8" s="29">
        <v>4.0999999999999996</v>
      </c>
      <c r="C8" s="29">
        <v>8</v>
      </c>
    </row>
    <row r="9" spans="1:8" ht="14.45" x14ac:dyDescent="0.3">
      <c r="A9" s="13">
        <v>41091</v>
      </c>
      <c r="B9" s="100">
        <v>4</v>
      </c>
      <c r="C9" t="s">
        <v>231</v>
      </c>
    </row>
    <row r="10" spans="1:8" s="3" customFormat="1" ht="14.45" x14ac:dyDescent="0.3">
      <c r="A10" s="13">
        <v>41122</v>
      </c>
      <c r="B10" s="11">
        <v>4.28</v>
      </c>
      <c r="C10" s="11">
        <v>7</v>
      </c>
    </row>
    <row r="11" spans="1:8" s="4" customFormat="1" ht="14.45" x14ac:dyDescent="0.3">
      <c r="A11" s="13">
        <v>41153</v>
      </c>
      <c r="B11" s="11">
        <v>4.1399999999999997</v>
      </c>
      <c r="C11" s="11">
        <v>39</v>
      </c>
    </row>
    <row r="12" spans="1:8" ht="14.45" x14ac:dyDescent="0.3">
      <c r="A12" s="13">
        <v>41183</v>
      </c>
      <c r="B12" s="11">
        <v>4.01</v>
      </c>
      <c r="C12" s="11">
        <v>97</v>
      </c>
    </row>
    <row r="13" spans="1:8" ht="14.45" x14ac:dyDescent="0.3">
      <c r="A13" s="13">
        <v>41214</v>
      </c>
      <c r="B13" s="11">
        <v>4.16</v>
      </c>
      <c r="C13" s="11">
        <v>79</v>
      </c>
    </row>
    <row r="14" spans="1:8" ht="14.45" x14ac:dyDescent="0.3">
      <c r="A14" s="13">
        <v>41244</v>
      </c>
      <c r="B14" s="11">
        <v>4.1500000000000004</v>
      </c>
      <c r="C14" s="11">
        <v>74</v>
      </c>
    </row>
    <row r="15" spans="1:8" ht="14.45" x14ac:dyDescent="0.3">
      <c r="A15" s="13">
        <v>41275</v>
      </c>
      <c r="B15" s="11">
        <v>4.08</v>
      </c>
      <c r="C15" s="11">
        <v>69</v>
      </c>
    </row>
    <row r="16" spans="1:8" ht="14.45" x14ac:dyDescent="0.3">
      <c r="A16" s="13">
        <v>41306</v>
      </c>
      <c r="B16" s="11">
        <v>4.12</v>
      </c>
      <c r="C16" s="11">
        <v>69</v>
      </c>
    </row>
    <row r="17" spans="1:3" ht="14.45" x14ac:dyDescent="0.3">
      <c r="A17" s="13">
        <v>41334</v>
      </c>
      <c r="B17" s="11">
        <v>4.16</v>
      </c>
      <c r="C17" s="11">
        <v>92</v>
      </c>
    </row>
    <row r="18" spans="1:3" ht="14.45" x14ac:dyDescent="0.3">
      <c r="A18" s="13">
        <v>41365</v>
      </c>
      <c r="B18" s="198">
        <v>4.5650000000000004</v>
      </c>
      <c r="C18" s="11">
        <v>89</v>
      </c>
    </row>
    <row r="19" spans="1:3" ht="14.45" x14ac:dyDescent="0.3">
      <c r="A19" s="13">
        <v>41395</v>
      </c>
      <c r="B19" s="11">
        <v>4.42</v>
      </c>
      <c r="C19" s="11">
        <v>91</v>
      </c>
    </row>
    <row r="20" spans="1:3" x14ac:dyDescent="0.25">
      <c r="A20" s="13">
        <v>41426</v>
      </c>
      <c r="B20" s="11">
        <v>4.2300000000000004</v>
      </c>
      <c r="C20" s="11">
        <v>58</v>
      </c>
    </row>
    <row r="21" spans="1:3" x14ac:dyDescent="0.25">
      <c r="A21" s="13">
        <v>41456</v>
      </c>
      <c r="B21" s="11">
        <v>4.1399999999999997</v>
      </c>
      <c r="C21" s="11">
        <v>123</v>
      </c>
    </row>
    <row r="22" spans="1:3" x14ac:dyDescent="0.25">
      <c r="A22" s="13">
        <v>41487</v>
      </c>
      <c r="B22" s="11">
        <v>4.37</v>
      </c>
      <c r="C22" s="11">
        <v>98</v>
      </c>
    </row>
    <row r="23" spans="1:3" x14ac:dyDescent="0.25">
      <c r="A23" s="13">
        <v>41518</v>
      </c>
      <c r="B23" s="11">
        <v>4.51</v>
      </c>
      <c r="C23" s="11">
        <v>89</v>
      </c>
    </row>
    <row r="24" spans="1:3" x14ac:dyDescent="0.25">
      <c r="A24" s="13">
        <v>41548</v>
      </c>
      <c r="B24" s="11">
        <v>4.26</v>
      </c>
      <c r="C24" s="11">
        <v>105</v>
      </c>
    </row>
    <row r="25" spans="1:3" x14ac:dyDescent="0.25">
      <c r="A25" s="13">
        <v>41579</v>
      </c>
      <c r="B25" s="11">
        <v>4.62</v>
      </c>
      <c r="C25" s="11">
        <v>106</v>
      </c>
    </row>
    <row r="26" spans="1:3" x14ac:dyDescent="0.25">
      <c r="A26" s="13">
        <v>41609</v>
      </c>
      <c r="B26" s="11">
        <v>4.53</v>
      </c>
      <c r="C26" s="11">
        <v>98</v>
      </c>
    </row>
    <row r="27" spans="1:3" x14ac:dyDescent="0.25">
      <c r="A27" s="13">
        <v>41640</v>
      </c>
      <c r="B27" s="11">
        <v>4.47</v>
      </c>
      <c r="C27" s="11">
        <v>83</v>
      </c>
    </row>
    <row r="28" spans="1:3" x14ac:dyDescent="0.25">
      <c r="A28" s="13">
        <v>41671</v>
      </c>
      <c r="B28" s="11">
        <v>4.41</v>
      </c>
      <c r="C28" s="11">
        <v>106</v>
      </c>
    </row>
    <row r="29" spans="1:3" x14ac:dyDescent="0.25">
      <c r="A29" s="13">
        <v>41699</v>
      </c>
      <c r="B29" s="11">
        <v>4.7300000000000004</v>
      </c>
      <c r="C29" s="11">
        <v>88</v>
      </c>
    </row>
    <row r="30" spans="1:3" x14ac:dyDescent="0.25">
      <c r="A30" s="13">
        <v>41730</v>
      </c>
      <c r="B30" s="11">
        <v>4.8099999999999996</v>
      </c>
      <c r="C30" s="11">
        <v>81</v>
      </c>
    </row>
    <row r="31" spans="1:3" x14ac:dyDescent="0.25">
      <c r="A31" s="13">
        <v>41760</v>
      </c>
      <c r="B31" s="11">
        <v>4.4800000000000004</v>
      </c>
      <c r="C31" s="11">
        <v>91</v>
      </c>
    </row>
    <row r="32" spans="1:3" x14ac:dyDescent="0.25">
      <c r="A32" s="13">
        <v>41791</v>
      </c>
      <c r="B32" s="11">
        <v>4.34</v>
      </c>
      <c r="C32" s="11">
        <v>81</v>
      </c>
    </row>
    <row r="33" spans="1:3" x14ac:dyDescent="0.25">
      <c r="A33" s="13">
        <v>41821</v>
      </c>
      <c r="B33" s="11">
        <v>4.58</v>
      </c>
      <c r="C33" s="11">
        <v>72</v>
      </c>
    </row>
    <row r="34" spans="1:3" x14ac:dyDescent="0.25">
      <c r="A34" s="13">
        <v>41852</v>
      </c>
      <c r="B34" s="11">
        <v>4.45</v>
      </c>
      <c r="C34" s="11">
        <v>93</v>
      </c>
    </row>
  </sheetData>
  <pageMargins left="0.25" right="0.25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48"/>
  <sheetViews>
    <sheetView topLeftCell="A82" zoomScaleNormal="100" zoomScaleSheetLayoutView="50" workbookViewId="0">
      <selection activeCell="L122" sqref="L122"/>
    </sheetView>
  </sheetViews>
  <sheetFormatPr defaultRowHeight="15" x14ac:dyDescent="0.25"/>
  <cols>
    <col min="1" max="1" width="11.7109375" customWidth="1"/>
    <col min="2" max="2" width="8.85546875" customWidth="1"/>
    <col min="3" max="4" width="9.7109375" style="39" customWidth="1"/>
    <col min="5" max="5" width="6.85546875" style="39" customWidth="1"/>
    <col min="6" max="6" width="7.28515625" style="39" bestFit="1" customWidth="1"/>
    <col min="7" max="7" width="9.7109375" style="39" customWidth="1"/>
    <col min="8" max="9" width="10.7109375" customWidth="1"/>
    <col min="10" max="10" width="11.28515625" customWidth="1"/>
    <col min="12" max="12" width="10.7109375" customWidth="1"/>
    <col min="13" max="13" width="10.28515625" customWidth="1"/>
    <col min="15" max="15" width="10.5703125" customWidth="1"/>
    <col min="16" max="16" width="11.85546875" customWidth="1"/>
  </cols>
  <sheetData>
    <row r="2" spans="1:7" ht="14.45" x14ac:dyDescent="0.3">
      <c r="A2" s="6" t="s">
        <v>72</v>
      </c>
      <c r="B2" s="6" t="s">
        <v>6</v>
      </c>
      <c r="C2" s="39" t="s">
        <v>0</v>
      </c>
      <c r="E2" s="39" t="s">
        <v>1</v>
      </c>
    </row>
    <row r="3" spans="1:7" ht="14.45" x14ac:dyDescent="0.3">
      <c r="A3" s="1">
        <v>40909</v>
      </c>
      <c r="B3" s="105"/>
      <c r="C3" s="40">
        <v>247</v>
      </c>
      <c r="D3" s="40"/>
      <c r="E3" s="39">
        <v>146</v>
      </c>
      <c r="F3" s="20">
        <f>+E3/C3</f>
        <v>0.59109311740890691</v>
      </c>
      <c r="G3" s="20"/>
    </row>
    <row r="4" spans="1:7" ht="14.45" x14ac:dyDescent="0.3">
      <c r="A4" s="1">
        <v>40940</v>
      </c>
      <c r="B4" s="105"/>
      <c r="C4" s="40">
        <v>130</v>
      </c>
      <c r="D4" s="40"/>
      <c r="E4" s="39">
        <v>54</v>
      </c>
      <c r="F4" s="20">
        <f t="shared" ref="F4:F14" si="0">+E4/C4</f>
        <v>0.41538461538461541</v>
      </c>
      <c r="G4" s="20"/>
    </row>
    <row r="5" spans="1:7" ht="14.45" x14ac:dyDescent="0.3">
      <c r="A5" s="1">
        <v>40969</v>
      </c>
      <c r="B5" s="105"/>
      <c r="C5" s="40">
        <v>78</v>
      </c>
      <c r="D5" s="40"/>
      <c r="E5" s="39">
        <v>13</v>
      </c>
      <c r="F5" s="20">
        <f t="shared" si="0"/>
        <v>0.16666666666666666</v>
      </c>
      <c r="G5" s="20"/>
    </row>
    <row r="6" spans="1:7" ht="14.45" x14ac:dyDescent="0.3">
      <c r="A6" s="1">
        <v>41000</v>
      </c>
      <c r="B6" s="105"/>
      <c r="C6" s="35">
        <v>116</v>
      </c>
      <c r="D6" s="35"/>
      <c r="E6" s="39">
        <v>33</v>
      </c>
      <c r="F6" s="20">
        <f t="shared" si="0"/>
        <v>0.28448275862068967</v>
      </c>
      <c r="G6" s="20"/>
    </row>
    <row r="7" spans="1:7" ht="14.45" x14ac:dyDescent="0.3">
      <c r="A7" s="1">
        <v>41030</v>
      </c>
      <c r="B7" s="105"/>
      <c r="C7" s="35">
        <v>77</v>
      </c>
      <c r="D7" s="35"/>
      <c r="E7" s="39">
        <v>46</v>
      </c>
      <c r="F7" s="20">
        <f t="shared" si="0"/>
        <v>0.59740259740259738</v>
      </c>
      <c r="G7" s="20"/>
    </row>
    <row r="8" spans="1:7" ht="14.45" x14ac:dyDescent="0.3">
      <c r="A8" s="1">
        <v>41061</v>
      </c>
      <c r="B8" s="105"/>
      <c r="C8" s="35">
        <v>150</v>
      </c>
      <c r="D8" s="21"/>
      <c r="E8" s="39">
        <v>34</v>
      </c>
      <c r="F8" s="20">
        <f t="shared" si="0"/>
        <v>0.22666666666666666</v>
      </c>
      <c r="G8" s="20"/>
    </row>
    <row r="9" spans="1:7" ht="14.45" x14ac:dyDescent="0.3">
      <c r="A9" s="1">
        <v>41091</v>
      </c>
      <c r="B9" s="105"/>
      <c r="C9" s="35">
        <v>113</v>
      </c>
      <c r="D9" s="21"/>
      <c r="E9" s="39">
        <v>43</v>
      </c>
      <c r="F9" s="20">
        <f t="shared" si="0"/>
        <v>0.38053097345132741</v>
      </c>
      <c r="G9" s="20"/>
    </row>
    <row r="10" spans="1:7" ht="14.45" x14ac:dyDescent="0.3">
      <c r="A10" s="1">
        <v>41122</v>
      </c>
      <c r="B10" s="105"/>
      <c r="C10" s="35">
        <v>158</v>
      </c>
      <c r="D10" s="21"/>
      <c r="E10" s="39">
        <v>32</v>
      </c>
      <c r="F10" s="20">
        <f t="shared" si="0"/>
        <v>0.20253164556962025</v>
      </c>
      <c r="G10" s="20"/>
    </row>
    <row r="11" spans="1:7" ht="14.45" x14ac:dyDescent="0.3">
      <c r="A11" s="1">
        <v>41153</v>
      </c>
      <c r="B11" s="105"/>
      <c r="C11" s="35">
        <v>98</v>
      </c>
      <c r="D11" s="21"/>
      <c r="E11" s="39">
        <v>48</v>
      </c>
      <c r="F11" s="20">
        <f t="shared" si="0"/>
        <v>0.48979591836734693</v>
      </c>
      <c r="G11" s="20"/>
    </row>
    <row r="12" spans="1:7" ht="14.45" x14ac:dyDescent="0.3">
      <c r="A12" s="1">
        <v>41183</v>
      </c>
      <c r="B12" s="105"/>
      <c r="C12" s="35">
        <v>46</v>
      </c>
      <c r="D12" s="21"/>
      <c r="E12" s="39">
        <v>0</v>
      </c>
      <c r="F12" s="20">
        <f t="shared" si="0"/>
        <v>0</v>
      </c>
      <c r="G12" s="20"/>
    </row>
    <row r="13" spans="1:7" ht="14.45" x14ac:dyDescent="0.3">
      <c r="A13" s="1">
        <v>41214</v>
      </c>
      <c r="B13" s="105"/>
      <c r="C13" s="35">
        <v>49</v>
      </c>
      <c r="D13" s="21"/>
      <c r="E13" s="39">
        <v>2</v>
      </c>
      <c r="F13" s="20">
        <f t="shared" si="0"/>
        <v>4.0816326530612242E-2</v>
      </c>
      <c r="G13" s="20"/>
    </row>
    <row r="14" spans="1:7" ht="14.45" x14ac:dyDescent="0.3">
      <c r="A14" s="1">
        <v>41244</v>
      </c>
      <c r="B14" s="105"/>
      <c r="C14" s="35">
        <v>30</v>
      </c>
      <c r="D14" s="21"/>
      <c r="E14" s="39">
        <v>0</v>
      </c>
      <c r="F14" s="20">
        <f t="shared" si="0"/>
        <v>0</v>
      </c>
      <c r="G14" s="20"/>
    </row>
    <row r="15" spans="1:7" ht="14.45" x14ac:dyDescent="0.3">
      <c r="A15" s="1">
        <v>41275</v>
      </c>
      <c r="B15" s="105"/>
      <c r="C15" s="35">
        <v>100</v>
      </c>
      <c r="D15" s="21"/>
      <c r="E15" s="39">
        <v>0</v>
      </c>
      <c r="F15" s="20">
        <f t="shared" ref="F15:F34" si="1">+E15/C15</f>
        <v>0</v>
      </c>
    </row>
    <row r="16" spans="1:7" ht="14.45" x14ac:dyDescent="0.3">
      <c r="A16" s="1">
        <v>41306</v>
      </c>
      <c r="B16" s="105"/>
      <c r="C16" s="39">
        <v>67</v>
      </c>
      <c r="E16" s="39">
        <v>7</v>
      </c>
      <c r="F16" s="20">
        <f t="shared" si="1"/>
        <v>0.1044776119402985</v>
      </c>
    </row>
    <row r="17" spans="1:6" ht="14.45" x14ac:dyDescent="0.3">
      <c r="A17" s="1">
        <v>41334</v>
      </c>
      <c r="B17" s="106"/>
      <c r="C17" s="39">
        <v>56</v>
      </c>
      <c r="E17" s="39">
        <v>1</v>
      </c>
      <c r="F17" s="20">
        <f t="shared" si="1"/>
        <v>1.7857142857142856E-2</v>
      </c>
    </row>
    <row r="18" spans="1:6" ht="14.45" x14ac:dyDescent="0.3">
      <c r="A18" s="1">
        <v>41365</v>
      </c>
      <c r="B18" s="2"/>
      <c r="C18" s="39">
        <v>102</v>
      </c>
      <c r="E18" s="39">
        <v>2</v>
      </c>
      <c r="F18" s="20">
        <f t="shared" si="1"/>
        <v>1.9607843137254902E-2</v>
      </c>
    </row>
    <row r="19" spans="1:6" ht="14.45" x14ac:dyDescent="0.3">
      <c r="A19" s="1">
        <v>41395</v>
      </c>
      <c r="B19" s="2"/>
      <c r="C19" s="39">
        <v>81</v>
      </c>
      <c r="E19" s="39">
        <v>9</v>
      </c>
      <c r="F19" s="20">
        <f t="shared" si="1"/>
        <v>0.1111111111111111</v>
      </c>
    </row>
    <row r="20" spans="1:6" ht="14.45" x14ac:dyDescent="0.3">
      <c r="A20" s="1">
        <v>41426</v>
      </c>
      <c r="B20" s="2"/>
      <c r="C20" s="39">
        <v>90</v>
      </c>
      <c r="E20" s="39">
        <v>18</v>
      </c>
      <c r="F20" s="20">
        <f t="shared" si="1"/>
        <v>0.2</v>
      </c>
    </row>
    <row r="21" spans="1:6" ht="14.45" x14ac:dyDescent="0.3">
      <c r="A21" s="1">
        <v>41456</v>
      </c>
      <c r="B21" s="2"/>
      <c r="C21" s="39">
        <v>77</v>
      </c>
      <c r="E21" s="39">
        <v>27</v>
      </c>
      <c r="F21" s="20">
        <f t="shared" si="1"/>
        <v>0.35064935064935066</v>
      </c>
    </row>
    <row r="22" spans="1:6" ht="14.45" x14ac:dyDescent="0.3">
      <c r="A22" s="1">
        <v>41487</v>
      </c>
      <c r="B22" s="2"/>
      <c r="C22" s="39">
        <v>120</v>
      </c>
      <c r="E22" s="39">
        <v>21</v>
      </c>
      <c r="F22" s="20">
        <f t="shared" si="1"/>
        <v>0.17499999999999999</v>
      </c>
    </row>
    <row r="23" spans="1:6" ht="14.45" x14ac:dyDescent="0.3">
      <c r="A23" s="1">
        <v>41518</v>
      </c>
      <c r="B23" s="2"/>
      <c r="C23" s="39">
        <v>83</v>
      </c>
      <c r="E23" s="39">
        <v>30</v>
      </c>
      <c r="F23" s="20">
        <f t="shared" si="1"/>
        <v>0.36144578313253012</v>
      </c>
    </row>
    <row r="24" spans="1:6" ht="14.45" x14ac:dyDescent="0.3">
      <c r="A24" s="1">
        <v>41548</v>
      </c>
      <c r="B24" s="2"/>
      <c r="C24" s="39">
        <v>83</v>
      </c>
      <c r="E24" s="39">
        <v>19</v>
      </c>
      <c r="F24" s="20">
        <f t="shared" si="1"/>
        <v>0.2289156626506024</v>
      </c>
    </row>
    <row r="25" spans="1:6" ht="14.45" x14ac:dyDescent="0.3">
      <c r="A25" s="1">
        <v>41579</v>
      </c>
      <c r="B25" s="2"/>
      <c r="C25" s="39">
        <v>80</v>
      </c>
      <c r="E25" s="39">
        <v>14</v>
      </c>
      <c r="F25" s="20">
        <f t="shared" si="1"/>
        <v>0.17499999999999999</v>
      </c>
    </row>
    <row r="26" spans="1:6" ht="14.45" x14ac:dyDescent="0.3">
      <c r="A26" s="1">
        <v>41609</v>
      </c>
      <c r="B26" s="2"/>
      <c r="C26" s="39">
        <v>72</v>
      </c>
      <c r="E26" s="39">
        <v>37</v>
      </c>
      <c r="F26" s="20">
        <f t="shared" si="1"/>
        <v>0.51388888888888884</v>
      </c>
    </row>
    <row r="27" spans="1:6" ht="14.45" x14ac:dyDescent="0.3">
      <c r="A27" s="1">
        <v>41640</v>
      </c>
      <c r="B27" s="2"/>
      <c r="C27" s="39">
        <v>109</v>
      </c>
      <c r="E27" s="39">
        <v>39</v>
      </c>
      <c r="F27" s="20">
        <f t="shared" si="1"/>
        <v>0.3577981651376147</v>
      </c>
    </row>
    <row r="28" spans="1:6" ht="14.45" x14ac:dyDescent="0.3">
      <c r="A28" s="1">
        <v>41671</v>
      </c>
      <c r="B28" s="2"/>
      <c r="C28" s="39">
        <v>99</v>
      </c>
      <c r="E28" s="39">
        <v>39</v>
      </c>
      <c r="F28" s="20">
        <f t="shared" si="1"/>
        <v>0.39393939393939392</v>
      </c>
    </row>
    <row r="29" spans="1:6" ht="14.45" x14ac:dyDescent="0.3">
      <c r="A29" s="1">
        <v>41699</v>
      </c>
      <c r="B29" s="2"/>
      <c r="C29" s="39">
        <v>105</v>
      </c>
      <c r="E29" s="39">
        <v>49</v>
      </c>
      <c r="F29" s="20">
        <f t="shared" si="1"/>
        <v>0.46666666666666667</v>
      </c>
    </row>
    <row r="30" spans="1:6" ht="14.45" x14ac:dyDescent="0.3">
      <c r="A30" s="1">
        <v>41730</v>
      </c>
      <c r="B30" s="2"/>
      <c r="C30" s="39">
        <v>133</v>
      </c>
      <c r="E30" s="39">
        <v>63</v>
      </c>
      <c r="F30" s="20">
        <f t="shared" si="1"/>
        <v>0.47368421052631576</v>
      </c>
    </row>
    <row r="31" spans="1:6" ht="14.45" x14ac:dyDescent="0.3">
      <c r="A31" s="1">
        <v>41760</v>
      </c>
      <c r="B31" s="2"/>
      <c r="C31" s="39">
        <v>105</v>
      </c>
      <c r="E31" s="39">
        <v>58</v>
      </c>
      <c r="F31" s="20">
        <f t="shared" si="1"/>
        <v>0.55238095238095242</v>
      </c>
    </row>
    <row r="32" spans="1:6" ht="14.45" x14ac:dyDescent="0.3">
      <c r="A32" s="1">
        <v>41791</v>
      </c>
      <c r="B32" s="2"/>
      <c r="C32" s="39">
        <v>116</v>
      </c>
      <c r="E32" s="39">
        <v>63</v>
      </c>
      <c r="F32" s="20">
        <f t="shared" si="1"/>
        <v>0.5431034482758621</v>
      </c>
    </row>
    <row r="33" spans="1:18" ht="14.45" x14ac:dyDescent="0.3">
      <c r="A33" s="1">
        <v>41821</v>
      </c>
      <c r="B33" s="2"/>
      <c r="C33" s="39">
        <v>99</v>
      </c>
      <c r="E33" s="39">
        <v>58</v>
      </c>
      <c r="F33" s="20">
        <f t="shared" si="1"/>
        <v>0.58585858585858586</v>
      </c>
    </row>
    <row r="34" spans="1:18" ht="14.45" x14ac:dyDescent="0.3">
      <c r="A34" s="1">
        <v>41852</v>
      </c>
      <c r="B34" s="2"/>
      <c r="C34" s="39">
        <v>123</v>
      </c>
      <c r="E34" s="39">
        <v>56</v>
      </c>
      <c r="F34" s="20">
        <f t="shared" si="1"/>
        <v>0.45528455284552843</v>
      </c>
    </row>
    <row r="36" spans="1:18" ht="46.15" customHeight="1" x14ac:dyDescent="0.3">
      <c r="A36" s="12" t="s">
        <v>72</v>
      </c>
      <c r="B36" s="239" t="s">
        <v>6</v>
      </c>
      <c r="C36" s="238" t="s">
        <v>56</v>
      </c>
      <c r="D36" s="238" t="s">
        <v>57</v>
      </c>
      <c r="E36" s="239" t="s">
        <v>8</v>
      </c>
      <c r="F36" s="238" t="s">
        <v>56</v>
      </c>
      <c r="G36" s="238" t="s">
        <v>57</v>
      </c>
      <c r="H36" s="239" t="s">
        <v>9</v>
      </c>
      <c r="I36" s="238" t="s">
        <v>56</v>
      </c>
      <c r="J36" s="238" t="s">
        <v>57</v>
      </c>
      <c r="K36" s="239" t="s">
        <v>10</v>
      </c>
      <c r="L36" s="238" t="s">
        <v>56</v>
      </c>
      <c r="M36" s="238" t="s">
        <v>57</v>
      </c>
      <c r="N36" s="239" t="s">
        <v>11</v>
      </c>
      <c r="O36" s="238" t="s">
        <v>56</v>
      </c>
      <c r="P36" s="238" t="s">
        <v>57</v>
      </c>
      <c r="Q36" s="239" t="s">
        <v>12</v>
      </c>
      <c r="R36" s="238" t="s">
        <v>191</v>
      </c>
    </row>
    <row r="37" spans="1:18" ht="14.45" x14ac:dyDescent="0.3">
      <c r="A37" s="13">
        <v>40817</v>
      </c>
      <c r="B37" s="8">
        <v>0.9</v>
      </c>
      <c r="C37" s="45" t="s">
        <v>110</v>
      </c>
      <c r="D37" s="45" t="s">
        <v>77</v>
      </c>
      <c r="E37" s="8">
        <f t="shared" ref="E37:E49" si="2">D37/C37</f>
        <v>0.77727272727272723</v>
      </c>
      <c r="F37" s="45"/>
      <c r="G37" s="45"/>
      <c r="H37" s="8" t="s">
        <v>52</v>
      </c>
      <c r="I37" s="45"/>
      <c r="J37" s="45"/>
      <c r="K37" s="8">
        <v>0.1</v>
      </c>
      <c r="L37" s="45"/>
      <c r="M37" s="45"/>
      <c r="N37" s="8">
        <v>0.53</v>
      </c>
      <c r="O37" s="50"/>
      <c r="P37" s="50"/>
      <c r="Q37" s="8">
        <v>0.84</v>
      </c>
    </row>
    <row r="38" spans="1:18" ht="14.45" x14ac:dyDescent="0.3">
      <c r="A38" s="13">
        <v>40848</v>
      </c>
      <c r="B38" s="8">
        <v>0.9</v>
      </c>
      <c r="C38" s="45" t="s">
        <v>112</v>
      </c>
      <c r="D38" s="45" t="s">
        <v>99</v>
      </c>
      <c r="E38" s="8">
        <f t="shared" si="2"/>
        <v>0.75369458128078815</v>
      </c>
      <c r="F38" s="45"/>
      <c r="G38" s="45"/>
      <c r="H38" s="8" t="s">
        <v>52</v>
      </c>
      <c r="I38" s="45"/>
      <c r="J38" s="45"/>
      <c r="K38" s="8">
        <v>0.2</v>
      </c>
      <c r="L38" s="45"/>
      <c r="M38" s="45"/>
      <c r="N38" s="8">
        <v>0.69</v>
      </c>
      <c r="O38" s="50"/>
      <c r="P38" s="50"/>
      <c r="Q38" s="8">
        <v>0.77</v>
      </c>
    </row>
    <row r="39" spans="1:18" ht="14.45" x14ac:dyDescent="0.3">
      <c r="A39" s="13">
        <v>40878</v>
      </c>
      <c r="B39" s="8">
        <v>0.9</v>
      </c>
      <c r="C39" s="45" t="s">
        <v>111</v>
      </c>
      <c r="D39" s="45" t="s">
        <v>109</v>
      </c>
      <c r="E39" s="8">
        <f t="shared" si="2"/>
        <v>0.64940239043824699</v>
      </c>
      <c r="F39" s="45"/>
      <c r="G39" s="45"/>
      <c r="H39" s="8" t="s">
        <v>52</v>
      </c>
      <c r="I39" s="45"/>
      <c r="J39" s="45"/>
      <c r="K39" s="8">
        <v>0.33</v>
      </c>
      <c r="L39" s="45"/>
      <c r="M39" s="45"/>
      <c r="N39" s="8">
        <v>0.1</v>
      </c>
      <c r="O39" s="50"/>
      <c r="P39" s="50"/>
      <c r="Q39" s="8">
        <v>0.69</v>
      </c>
    </row>
    <row r="40" spans="1:18" ht="14.45" x14ac:dyDescent="0.3">
      <c r="A40" s="13">
        <v>40909</v>
      </c>
      <c r="B40" s="8">
        <v>0.9</v>
      </c>
      <c r="C40" s="45" t="s">
        <v>113</v>
      </c>
      <c r="D40" s="45" t="s">
        <v>108</v>
      </c>
      <c r="E40" s="8">
        <f t="shared" si="2"/>
        <v>0.55675675675675673</v>
      </c>
      <c r="F40" s="45"/>
      <c r="G40" s="45"/>
      <c r="H40" s="8" t="s">
        <v>52</v>
      </c>
      <c r="I40" s="45"/>
      <c r="J40" s="45"/>
      <c r="K40" s="8">
        <v>0.66</v>
      </c>
      <c r="L40" s="45"/>
      <c r="M40" s="45"/>
      <c r="N40" s="8">
        <v>0.5</v>
      </c>
      <c r="O40" s="50"/>
      <c r="P40" s="50"/>
      <c r="Q40" s="8">
        <v>0.56999999999999995</v>
      </c>
    </row>
    <row r="41" spans="1:18" ht="14.45" x14ac:dyDescent="0.3">
      <c r="A41" s="13">
        <v>40940</v>
      </c>
      <c r="B41" s="8">
        <v>0.9</v>
      </c>
      <c r="C41" s="45" t="s">
        <v>114</v>
      </c>
      <c r="D41" s="45" t="s">
        <v>107</v>
      </c>
      <c r="E41" s="8">
        <f t="shared" si="2"/>
        <v>0.64077669902912626</v>
      </c>
      <c r="F41" s="45"/>
      <c r="G41" s="45"/>
      <c r="H41" s="8" t="s">
        <v>52</v>
      </c>
      <c r="I41" s="45"/>
      <c r="J41" s="45"/>
      <c r="K41" s="8">
        <v>0.17</v>
      </c>
      <c r="L41" s="45"/>
      <c r="M41" s="45"/>
      <c r="N41" s="8">
        <v>0.47</v>
      </c>
      <c r="O41" s="50"/>
      <c r="P41" s="50"/>
      <c r="Q41" s="8">
        <v>0.67</v>
      </c>
    </row>
    <row r="42" spans="1:18" ht="14.45" x14ac:dyDescent="0.3">
      <c r="A42" s="13">
        <v>40969</v>
      </c>
      <c r="B42" s="8">
        <v>0.9</v>
      </c>
      <c r="C42" s="45" t="s">
        <v>106</v>
      </c>
      <c r="D42" s="45" t="s">
        <v>103</v>
      </c>
      <c r="E42" s="8">
        <f t="shared" si="2"/>
        <v>0.93641618497109824</v>
      </c>
      <c r="F42" s="45" t="s">
        <v>101</v>
      </c>
      <c r="G42" s="45" t="s">
        <v>101</v>
      </c>
      <c r="H42" s="8">
        <f t="shared" ref="H42:H48" si="3">G42/F42</f>
        <v>1</v>
      </c>
      <c r="I42" s="45" t="s">
        <v>90</v>
      </c>
      <c r="J42" s="45" t="s">
        <v>100</v>
      </c>
      <c r="K42" s="8">
        <f t="shared" ref="K42:K49" si="4">J42/I42</f>
        <v>0.6</v>
      </c>
      <c r="L42" s="45" t="s">
        <v>75</v>
      </c>
      <c r="M42" s="45" t="s">
        <v>74</v>
      </c>
      <c r="N42" s="142">
        <f t="shared" ref="N42:N49" si="5">M42/L42</f>
        <v>0.7857142857142857</v>
      </c>
      <c r="O42" s="50" t="s">
        <v>99</v>
      </c>
      <c r="P42" s="50" t="s">
        <v>96</v>
      </c>
      <c r="Q42" s="8">
        <f t="shared" ref="Q42:Q49" si="6">P42/O42</f>
        <v>0.96078431372549022</v>
      </c>
      <c r="R42" s="47"/>
    </row>
    <row r="43" spans="1:18" ht="14.45" x14ac:dyDescent="0.3">
      <c r="A43" s="13">
        <v>41000</v>
      </c>
      <c r="B43" s="8">
        <v>0.9</v>
      </c>
      <c r="C43" s="45" t="s">
        <v>105</v>
      </c>
      <c r="D43" s="45" t="s">
        <v>104</v>
      </c>
      <c r="E43" s="8">
        <f t="shared" si="2"/>
        <v>0.77586206896551724</v>
      </c>
      <c r="F43" s="45" t="s">
        <v>91</v>
      </c>
      <c r="G43" s="45" t="s">
        <v>102</v>
      </c>
      <c r="H43" s="8">
        <f t="shared" si="3"/>
        <v>0.5</v>
      </c>
      <c r="I43" s="45" t="s">
        <v>91</v>
      </c>
      <c r="J43" s="45" t="s">
        <v>101</v>
      </c>
      <c r="K43" s="8">
        <f t="shared" si="4"/>
        <v>0.25</v>
      </c>
      <c r="L43" s="45" t="s">
        <v>88</v>
      </c>
      <c r="M43" s="45" t="s">
        <v>91</v>
      </c>
      <c r="N43" s="142">
        <f t="shared" si="5"/>
        <v>0.4</v>
      </c>
      <c r="O43" s="50" t="s">
        <v>98</v>
      </c>
      <c r="P43" s="50" t="s">
        <v>97</v>
      </c>
      <c r="Q43" s="8">
        <f t="shared" si="6"/>
        <v>0.82051282051282048</v>
      </c>
    </row>
    <row r="44" spans="1:18" ht="14.45" x14ac:dyDescent="0.3">
      <c r="A44" s="13">
        <v>41030</v>
      </c>
      <c r="B44" s="8">
        <v>0.9</v>
      </c>
      <c r="C44" s="54">
        <v>201</v>
      </c>
      <c r="D44" s="54">
        <v>191</v>
      </c>
      <c r="E44" s="8">
        <f t="shared" si="2"/>
        <v>0.95024875621890548</v>
      </c>
      <c r="F44" s="54">
        <v>2</v>
      </c>
      <c r="G44" s="54">
        <v>1</v>
      </c>
      <c r="H44" s="8">
        <f t="shared" si="3"/>
        <v>0.5</v>
      </c>
      <c r="I44" s="54">
        <v>9</v>
      </c>
      <c r="J44" s="54">
        <v>5</v>
      </c>
      <c r="K44" s="8">
        <f t="shared" si="4"/>
        <v>0.55555555555555558</v>
      </c>
      <c r="L44" s="54">
        <v>18</v>
      </c>
      <c r="M44" s="54">
        <v>16</v>
      </c>
      <c r="N44" s="142">
        <f t="shared" si="5"/>
        <v>0.88888888888888884</v>
      </c>
      <c r="O44" s="55">
        <v>172</v>
      </c>
      <c r="P44" s="55">
        <v>169</v>
      </c>
      <c r="Q44" s="8">
        <f t="shared" si="6"/>
        <v>0.98255813953488369</v>
      </c>
    </row>
    <row r="45" spans="1:18" ht="14.45" x14ac:dyDescent="0.3">
      <c r="A45" s="13">
        <v>41061</v>
      </c>
      <c r="B45" s="8">
        <v>0.9</v>
      </c>
      <c r="C45" s="45" t="s">
        <v>86</v>
      </c>
      <c r="D45" s="45" t="s">
        <v>211</v>
      </c>
      <c r="E45" s="8">
        <f t="shared" si="2"/>
        <v>0.848314606741573</v>
      </c>
      <c r="F45" s="45" t="s">
        <v>174</v>
      </c>
      <c r="G45" s="45" t="s">
        <v>174</v>
      </c>
      <c r="H45" s="8" t="e">
        <f t="shared" si="3"/>
        <v>#DIV/0!</v>
      </c>
      <c r="I45" s="45" t="s">
        <v>101</v>
      </c>
      <c r="J45" s="45" t="s">
        <v>101</v>
      </c>
      <c r="K45" s="8">
        <f t="shared" si="4"/>
        <v>1</v>
      </c>
      <c r="L45" s="45" t="s">
        <v>75</v>
      </c>
      <c r="M45" s="45" t="s">
        <v>88</v>
      </c>
      <c r="N45" s="142">
        <f t="shared" si="5"/>
        <v>0.7142857142857143</v>
      </c>
      <c r="O45" s="50" t="s">
        <v>109</v>
      </c>
      <c r="P45" s="50" t="s">
        <v>188</v>
      </c>
      <c r="Q45" s="8">
        <f t="shared" si="6"/>
        <v>0.86503067484662577</v>
      </c>
      <c r="R45">
        <v>7</v>
      </c>
    </row>
    <row r="46" spans="1:18" ht="14.45" x14ac:dyDescent="0.3">
      <c r="A46" s="13">
        <v>41091</v>
      </c>
      <c r="B46" s="8">
        <v>0.9</v>
      </c>
      <c r="C46" s="45">
        <f>F46+I46+L46+O46</f>
        <v>92</v>
      </c>
      <c r="D46" s="90">
        <f>G46+J46+M46+P46</f>
        <v>76</v>
      </c>
      <c r="E46" s="8">
        <f t="shared" si="2"/>
        <v>0.82608695652173914</v>
      </c>
      <c r="F46" s="45" t="s">
        <v>101</v>
      </c>
      <c r="G46" s="45" t="s">
        <v>101</v>
      </c>
      <c r="H46" s="8">
        <f t="shared" si="3"/>
        <v>1</v>
      </c>
      <c r="I46" s="45" t="s">
        <v>100</v>
      </c>
      <c r="J46" s="45" t="s">
        <v>102</v>
      </c>
      <c r="K46" s="8">
        <f t="shared" si="4"/>
        <v>0.66666666666666663</v>
      </c>
      <c r="L46" s="45" t="s">
        <v>212</v>
      </c>
      <c r="M46" s="45" t="s">
        <v>213</v>
      </c>
      <c r="N46" s="142">
        <f t="shared" si="5"/>
        <v>0.77272727272727271</v>
      </c>
      <c r="O46" s="50" t="s">
        <v>214</v>
      </c>
      <c r="P46" s="50" t="s">
        <v>157</v>
      </c>
      <c r="Q46" s="8">
        <f t="shared" si="6"/>
        <v>0.84848484848484851</v>
      </c>
      <c r="R46">
        <v>60</v>
      </c>
    </row>
    <row r="47" spans="1:18" ht="14.45" x14ac:dyDescent="0.3">
      <c r="A47" s="13">
        <v>41122</v>
      </c>
      <c r="B47" s="8">
        <v>0.9</v>
      </c>
      <c r="C47" s="45" t="s">
        <v>254</v>
      </c>
      <c r="D47" s="45" t="s">
        <v>255</v>
      </c>
      <c r="E47" s="8">
        <f t="shared" si="2"/>
        <v>0.90404040404040409</v>
      </c>
      <c r="F47" s="45" t="s">
        <v>101</v>
      </c>
      <c r="G47" s="45" t="s">
        <v>101</v>
      </c>
      <c r="H47" s="8">
        <f t="shared" si="3"/>
        <v>1</v>
      </c>
      <c r="I47" s="45" t="s">
        <v>252</v>
      </c>
      <c r="J47" s="45" t="s">
        <v>90</v>
      </c>
      <c r="K47" s="8">
        <f t="shared" si="4"/>
        <v>0.7142857142857143</v>
      </c>
      <c r="L47" s="45" t="s">
        <v>257</v>
      </c>
      <c r="M47" s="45" t="s">
        <v>256</v>
      </c>
      <c r="N47" s="142">
        <f t="shared" si="5"/>
        <v>0.77777777777777779</v>
      </c>
      <c r="O47" s="50" t="s">
        <v>109</v>
      </c>
      <c r="P47" s="50" t="s">
        <v>258</v>
      </c>
      <c r="Q47" s="8">
        <f t="shared" si="6"/>
        <v>0.93251533742331283</v>
      </c>
      <c r="R47">
        <v>29</v>
      </c>
    </row>
    <row r="48" spans="1:18" ht="14.45" x14ac:dyDescent="0.3">
      <c r="A48" s="13">
        <v>41153</v>
      </c>
      <c r="B48" s="8">
        <v>0.9</v>
      </c>
      <c r="C48" s="45" t="s">
        <v>281</v>
      </c>
      <c r="D48" s="45" t="s">
        <v>104</v>
      </c>
      <c r="E48" s="8">
        <f t="shared" si="2"/>
        <v>0.81325301204819278</v>
      </c>
      <c r="F48" s="45" t="s">
        <v>102</v>
      </c>
      <c r="G48" s="45" t="s">
        <v>101</v>
      </c>
      <c r="H48" s="8">
        <f t="shared" si="3"/>
        <v>0.5</v>
      </c>
      <c r="I48" s="45" t="s">
        <v>173</v>
      </c>
      <c r="J48" s="45" t="s">
        <v>100</v>
      </c>
      <c r="K48" s="8">
        <f t="shared" si="4"/>
        <v>0.5</v>
      </c>
      <c r="L48" s="45" t="s">
        <v>282</v>
      </c>
      <c r="M48" s="45" t="s">
        <v>148</v>
      </c>
      <c r="N48" s="142">
        <f t="shared" si="5"/>
        <v>0.84848484848484851</v>
      </c>
      <c r="O48" s="50" t="s">
        <v>127</v>
      </c>
      <c r="P48" s="50" t="s">
        <v>132</v>
      </c>
      <c r="Q48" s="8">
        <f t="shared" si="6"/>
        <v>0.81599999999999995</v>
      </c>
      <c r="R48">
        <v>3</v>
      </c>
    </row>
    <row r="49" spans="1:18" ht="14.45" x14ac:dyDescent="0.3">
      <c r="A49" s="13">
        <v>41183</v>
      </c>
      <c r="B49" s="8">
        <v>0.9</v>
      </c>
      <c r="C49" s="45" t="s">
        <v>292</v>
      </c>
      <c r="D49" s="45" t="s">
        <v>293</v>
      </c>
      <c r="E49" s="8">
        <f t="shared" si="2"/>
        <v>0.90228013029315957</v>
      </c>
      <c r="F49" s="45" t="s">
        <v>101</v>
      </c>
      <c r="G49" s="45" t="s">
        <v>101</v>
      </c>
      <c r="H49" s="8">
        <f t="shared" ref="H49:H65" si="7">G49/F49</f>
        <v>1</v>
      </c>
      <c r="I49" s="45" t="s">
        <v>88</v>
      </c>
      <c r="J49" s="45" t="s">
        <v>173</v>
      </c>
      <c r="K49" s="8">
        <f t="shared" si="4"/>
        <v>0.6</v>
      </c>
      <c r="L49" s="45" t="s">
        <v>152</v>
      </c>
      <c r="M49" s="45" t="s">
        <v>154</v>
      </c>
      <c r="N49" s="142">
        <f t="shared" si="5"/>
        <v>0.8</v>
      </c>
      <c r="O49" s="50" t="s">
        <v>111</v>
      </c>
      <c r="P49" s="50" t="s">
        <v>294</v>
      </c>
      <c r="Q49" s="8">
        <f t="shared" si="6"/>
        <v>0.9322709163346613</v>
      </c>
      <c r="R49">
        <v>11</v>
      </c>
    </row>
    <row r="50" spans="1:18" ht="14.45" x14ac:dyDescent="0.3">
      <c r="A50" s="13">
        <v>41214</v>
      </c>
      <c r="B50" s="8">
        <v>0.9</v>
      </c>
      <c r="C50" s="45" t="s">
        <v>313</v>
      </c>
      <c r="D50" s="45" t="s">
        <v>314</v>
      </c>
      <c r="E50" s="8">
        <f t="shared" ref="E50:E68" si="8">D50/C50</f>
        <v>0.97619047619047616</v>
      </c>
      <c r="F50" s="45" t="s">
        <v>174</v>
      </c>
      <c r="G50" s="45" t="s">
        <v>174</v>
      </c>
      <c r="H50" s="54" t="e">
        <f t="shared" si="7"/>
        <v>#DIV/0!</v>
      </c>
      <c r="I50" s="45" t="s">
        <v>101</v>
      </c>
      <c r="J50" s="45" t="s">
        <v>101</v>
      </c>
      <c r="K50" s="8">
        <f t="shared" ref="K50:K65" si="9">J50/I50</f>
        <v>1</v>
      </c>
      <c r="L50" s="45" t="s">
        <v>315</v>
      </c>
      <c r="M50" s="45" t="s">
        <v>316</v>
      </c>
      <c r="N50" s="142">
        <f t="shared" ref="N50:N65" si="10">M50/L50</f>
        <v>0.94736842105263153</v>
      </c>
      <c r="O50" s="50" t="s">
        <v>317</v>
      </c>
      <c r="P50" s="50" t="s">
        <v>318</v>
      </c>
      <c r="Q50" s="8">
        <f t="shared" ref="Q50:Q65" si="11">P50/O50</f>
        <v>0.97894736842105268</v>
      </c>
      <c r="R50">
        <v>5</v>
      </c>
    </row>
    <row r="51" spans="1:18" ht="14.45" x14ac:dyDescent="0.3">
      <c r="A51" s="13">
        <v>41244</v>
      </c>
      <c r="B51" s="8">
        <v>0.9</v>
      </c>
      <c r="C51" s="45" t="s">
        <v>329</v>
      </c>
      <c r="D51" s="45" t="s">
        <v>211</v>
      </c>
      <c r="E51" s="142">
        <f t="shared" si="8"/>
        <v>0.96178343949044587</v>
      </c>
      <c r="F51" s="45" t="s">
        <v>174</v>
      </c>
      <c r="G51" s="45" t="s">
        <v>174</v>
      </c>
      <c r="H51" s="7" t="e">
        <f t="shared" si="7"/>
        <v>#DIV/0!</v>
      </c>
      <c r="I51" s="45" t="s">
        <v>101</v>
      </c>
      <c r="J51" s="45" t="s">
        <v>101</v>
      </c>
      <c r="K51" s="142">
        <f t="shared" si="9"/>
        <v>1</v>
      </c>
      <c r="L51" s="45" t="s">
        <v>175</v>
      </c>
      <c r="M51" s="45" t="s">
        <v>253</v>
      </c>
      <c r="N51" s="142">
        <f t="shared" si="10"/>
        <v>0.75</v>
      </c>
      <c r="O51" s="50" t="s">
        <v>330</v>
      </c>
      <c r="P51" s="50" t="s">
        <v>188</v>
      </c>
      <c r="Q51" s="8">
        <f t="shared" si="11"/>
        <v>0.97916666666666663</v>
      </c>
      <c r="R51">
        <v>2</v>
      </c>
    </row>
    <row r="52" spans="1:18" ht="14.45" x14ac:dyDescent="0.3">
      <c r="A52" s="13">
        <v>41275</v>
      </c>
      <c r="B52" s="8">
        <v>0.9</v>
      </c>
      <c r="C52" s="45" t="s">
        <v>347</v>
      </c>
      <c r="D52" s="45" t="s">
        <v>206</v>
      </c>
      <c r="E52" s="142">
        <f t="shared" si="8"/>
        <v>0.95408163265306123</v>
      </c>
      <c r="F52" s="45" t="s">
        <v>174</v>
      </c>
      <c r="G52" s="45" t="s">
        <v>174</v>
      </c>
      <c r="H52" s="7" t="e">
        <f t="shared" si="7"/>
        <v>#DIV/0!</v>
      </c>
      <c r="I52" s="45" t="s">
        <v>102</v>
      </c>
      <c r="J52" s="45" t="s">
        <v>102</v>
      </c>
      <c r="K52" s="142">
        <f t="shared" si="9"/>
        <v>1</v>
      </c>
      <c r="L52" s="45" t="s">
        <v>100</v>
      </c>
      <c r="M52" s="45" t="s">
        <v>100</v>
      </c>
      <c r="N52" s="142">
        <f t="shared" si="10"/>
        <v>1</v>
      </c>
      <c r="O52" s="50" t="s">
        <v>348</v>
      </c>
      <c r="P52" s="50" t="s">
        <v>349</v>
      </c>
      <c r="Q52" s="8">
        <f t="shared" si="11"/>
        <v>0.95287958115183247</v>
      </c>
      <c r="R52">
        <v>4</v>
      </c>
    </row>
    <row r="53" spans="1:18" ht="14.45" x14ac:dyDescent="0.3">
      <c r="A53" s="13">
        <v>41306</v>
      </c>
      <c r="B53" s="8">
        <v>0.9</v>
      </c>
      <c r="C53" s="45" t="s">
        <v>378</v>
      </c>
      <c r="D53" s="45" t="s">
        <v>348</v>
      </c>
      <c r="E53" s="142">
        <f t="shared" si="8"/>
        <v>0.95024875621890548</v>
      </c>
      <c r="F53" s="45" t="s">
        <v>174</v>
      </c>
      <c r="G53" s="45" t="s">
        <v>174</v>
      </c>
      <c r="H53" s="7" t="e">
        <f t="shared" si="7"/>
        <v>#DIV/0!</v>
      </c>
      <c r="I53" s="45" t="s">
        <v>174</v>
      </c>
      <c r="J53" s="45" t="s">
        <v>174</v>
      </c>
      <c r="K53" s="142" t="e">
        <f t="shared" si="9"/>
        <v>#DIV/0!</v>
      </c>
      <c r="L53" s="45" t="s">
        <v>100</v>
      </c>
      <c r="M53" s="45" t="s">
        <v>102</v>
      </c>
      <c r="N53" s="142">
        <f t="shared" si="10"/>
        <v>0.66666666666666663</v>
      </c>
      <c r="O53" s="50" t="s">
        <v>254</v>
      </c>
      <c r="P53" s="50" t="s">
        <v>379</v>
      </c>
      <c r="Q53" s="8">
        <f t="shared" si="11"/>
        <v>0.95454545454545459</v>
      </c>
      <c r="R53">
        <v>0</v>
      </c>
    </row>
    <row r="54" spans="1:18" ht="14.45" x14ac:dyDescent="0.3">
      <c r="A54" s="13">
        <v>41334</v>
      </c>
      <c r="B54" s="8">
        <v>0.9</v>
      </c>
      <c r="C54" s="45" t="s">
        <v>397</v>
      </c>
      <c r="D54" s="45" t="s">
        <v>398</v>
      </c>
      <c r="E54" s="142">
        <f t="shared" si="8"/>
        <v>0.94799999999999995</v>
      </c>
      <c r="F54" s="45" t="s">
        <v>174</v>
      </c>
      <c r="G54" s="45" t="s">
        <v>174</v>
      </c>
      <c r="H54" s="7" t="e">
        <f t="shared" si="7"/>
        <v>#DIV/0!</v>
      </c>
      <c r="I54" s="45" t="s">
        <v>100</v>
      </c>
      <c r="J54" s="45" t="s">
        <v>101</v>
      </c>
      <c r="K54" s="142">
        <f t="shared" si="9"/>
        <v>0.33333333333333331</v>
      </c>
      <c r="L54" s="45" t="s">
        <v>253</v>
      </c>
      <c r="M54" s="45" t="s">
        <v>253</v>
      </c>
      <c r="N54" s="142">
        <f t="shared" si="10"/>
        <v>1</v>
      </c>
      <c r="O54" s="50" t="s">
        <v>399</v>
      </c>
      <c r="P54" s="50" t="s">
        <v>400</v>
      </c>
      <c r="Q54" s="8">
        <f t="shared" si="11"/>
        <v>0.95378151260504207</v>
      </c>
      <c r="R54">
        <v>0</v>
      </c>
    </row>
    <row r="55" spans="1:18" ht="14.45" x14ac:dyDescent="0.3">
      <c r="A55" s="13">
        <v>41365</v>
      </c>
      <c r="B55" s="8">
        <v>0.9</v>
      </c>
      <c r="C55" s="45" t="s">
        <v>348</v>
      </c>
      <c r="D55" s="45" t="s">
        <v>349</v>
      </c>
      <c r="E55" s="142">
        <f t="shared" si="8"/>
        <v>0.95287958115183247</v>
      </c>
      <c r="F55" s="45" t="s">
        <v>101</v>
      </c>
      <c r="G55" s="45" t="s">
        <v>101</v>
      </c>
      <c r="H55" s="197">
        <f t="shared" si="7"/>
        <v>1</v>
      </c>
      <c r="I55" s="45" t="s">
        <v>101</v>
      </c>
      <c r="J55" s="45" t="s">
        <v>101</v>
      </c>
      <c r="K55" s="142">
        <f t="shared" si="9"/>
        <v>1</v>
      </c>
      <c r="L55" s="45" t="s">
        <v>102</v>
      </c>
      <c r="M55" s="45" t="s">
        <v>101</v>
      </c>
      <c r="N55" s="142">
        <f t="shared" si="10"/>
        <v>0.5</v>
      </c>
      <c r="O55" s="50" t="s">
        <v>206</v>
      </c>
      <c r="P55" s="50" t="s">
        <v>255</v>
      </c>
      <c r="Q55" s="8">
        <f t="shared" si="11"/>
        <v>0.95721925133689845</v>
      </c>
      <c r="R55">
        <v>2</v>
      </c>
    </row>
    <row r="56" spans="1:18" ht="14.45" x14ac:dyDescent="0.3">
      <c r="A56" s="13">
        <v>41395</v>
      </c>
      <c r="B56" s="8">
        <v>0.9</v>
      </c>
      <c r="C56" s="45" t="s">
        <v>294</v>
      </c>
      <c r="D56" s="45" t="s">
        <v>110</v>
      </c>
      <c r="E56" s="142">
        <f t="shared" si="8"/>
        <v>0.94017094017094016</v>
      </c>
      <c r="F56" s="45" t="s">
        <v>101</v>
      </c>
      <c r="G56" s="45" t="s">
        <v>101</v>
      </c>
      <c r="H56" s="197">
        <f t="shared" si="7"/>
        <v>1</v>
      </c>
      <c r="I56" s="45" t="s">
        <v>101</v>
      </c>
      <c r="J56" s="45" t="s">
        <v>101</v>
      </c>
      <c r="K56" s="142">
        <f t="shared" si="9"/>
        <v>1</v>
      </c>
      <c r="L56" s="45" t="s">
        <v>74</v>
      </c>
      <c r="M56" s="45" t="s">
        <v>88</v>
      </c>
      <c r="N56" s="142">
        <f t="shared" si="10"/>
        <v>0.90909090909090906</v>
      </c>
      <c r="O56" s="50" t="s">
        <v>286</v>
      </c>
      <c r="P56" s="50" t="s">
        <v>323</v>
      </c>
      <c r="Q56" s="8">
        <f t="shared" si="11"/>
        <v>0.94117647058823528</v>
      </c>
      <c r="R56">
        <v>33</v>
      </c>
    </row>
    <row r="57" spans="1:18" ht="14.45" x14ac:dyDescent="0.3">
      <c r="A57" s="13">
        <v>41426</v>
      </c>
      <c r="B57" s="8">
        <v>0.9</v>
      </c>
      <c r="C57" s="45" t="s">
        <v>432</v>
      </c>
      <c r="D57" s="45" t="s">
        <v>379</v>
      </c>
      <c r="E57" s="142">
        <f t="shared" si="8"/>
        <v>0.96923076923076923</v>
      </c>
      <c r="F57" s="45" t="s">
        <v>100</v>
      </c>
      <c r="G57" s="45" t="s">
        <v>100</v>
      </c>
      <c r="H57" s="197">
        <f t="shared" si="7"/>
        <v>1</v>
      </c>
      <c r="I57" s="45" t="s">
        <v>91</v>
      </c>
      <c r="J57" s="45" t="s">
        <v>91</v>
      </c>
      <c r="K57" s="142">
        <f t="shared" si="9"/>
        <v>1</v>
      </c>
      <c r="L57" s="45" t="s">
        <v>91</v>
      </c>
      <c r="M57" s="45" t="s">
        <v>91</v>
      </c>
      <c r="N57" s="142">
        <f t="shared" si="10"/>
        <v>1</v>
      </c>
      <c r="O57" s="50" t="s">
        <v>234</v>
      </c>
      <c r="P57" s="50" t="s">
        <v>86</v>
      </c>
      <c r="Q57" s="8">
        <f t="shared" si="11"/>
        <v>0.96739130434782605</v>
      </c>
      <c r="R57">
        <v>3</v>
      </c>
    </row>
    <row r="58" spans="1:18" ht="14.45" x14ac:dyDescent="0.3">
      <c r="A58" s="13">
        <v>41456</v>
      </c>
      <c r="B58" s="8">
        <v>0.9</v>
      </c>
      <c r="C58" s="45" t="s">
        <v>453</v>
      </c>
      <c r="D58" s="45" t="s">
        <v>454</v>
      </c>
      <c r="E58" s="142">
        <f t="shared" si="8"/>
        <v>0.90948275862068961</v>
      </c>
      <c r="F58" s="45" t="s">
        <v>174</v>
      </c>
      <c r="G58" s="45" t="s">
        <v>174</v>
      </c>
      <c r="H58" s="7" t="e">
        <f t="shared" si="7"/>
        <v>#DIV/0!</v>
      </c>
      <c r="I58" s="45" t="s">
        <v>174</v>
      </c>
      <c r="J58" s="45" t="s">
        <v>174</v>
      </c>
      <c r="K58" s="7" t="e">
        <f t="shared" si="9"/>
        <v>#DIV/0!</v>
      </c>
      <c r="L58" s="45" t="s">
        <v>101</v>
      </c>
      <c r="M58" s="45" t="s">
        <v>101</v>
      </c>
      <c r="N58" s="142">
        <f t="shared" si="10"/>
        <v>1</v>
      </c>
      <c r="O58" s="50" t="s">
        <v>280</v>
      </c>
      <c r="P58" s="50" t="s">
        <v>313</v>
      </c>
      <c r="Q58" s="8">
        <f t="shared" si="11"/>
        <v>0.90909090909090906</v>
      </c>
      <c r="R58">
        <v>14</v>
      </c>
    </row>
    <row r="59" spans="1:18" ht="14.45" x14ac:dyDescent="0.3">
      <c r="A59" s="13">
        <v>41487</v>
      </c>
      <c r="B59" s="8">
        <v>0.9</v>
      </c>
      <c r="C59" s="45" t="s">
        <v>459</v>
      </c>
      <c r="D59" s="45" t="s">
        <v>275</v>
      </c>
      <c r="E59" s="142">
        <f t="shared" si="8"/>
        <v>0.92481203007518797</v>
      </c>
      <c r="F59" s="45" t="s">
        <v>102</v>
      </c>
      <c r="G59" s="45" t="s">
        <v>102</v>
      </c>
      <c r="H59" s="8">
        <f t="shared" si="7"/>
        <v>1</v>
      </c>
      <c r="I59" s="45" t="s">
        <v>174</v>
      </c>
      <c r="J59" s="45" t="s">
        <v>174</v>
      </c>
      <c r="K59" s="7" t="e">
        <f t="shared" si="9"/>
        <v>#DIV/0!</v>
      </c>
      <c r="L59" s="45" t="s">
        <v>253</v>
      </c>
      <c r="M59" s="45" t="s">
        <v>252</v>
      </c>
      <c r="N59" s="142">
        <f t="shared" si="10"/>
        <v>0.77777777777777779</v>
      </c>
      <c r="O59" s="50" t="s">
        <v>460</v>
      </c>
      <c r="P59" s="50" t="s">
        <v>398</v>
      </c>
      <c r="Q59" s="8">
        <f t="shared" si="11"/>
        <v>0.92941176470588238</v>
      </c>
      <c r="R59">
        <v>16</v>
      </c>
    </row>
    <row r="60" spans="1:18" ht="14.45" x14ac:dyDescent="0.3">
      <c r="A60" s="13">
        <v>41518</v>
      </c>
      <c r="B60" s="8">
        <v>0.9</v>
      </c>
      <c r="C60" s="45" t="s">
        <v>114</v>
      </c>
      <c r="D60" s="45" t="s">
        <v>432</v>
      </c>
      <c r="E60" s="142">
        <f t="shared" si="8"/>
        <v>0.94660194174757284</v>
      </c>
      <c r="F60" s="45" t="s">
        <v>174</v>
      </c>
      <c r="G60" s="45" t="s">
        <v>174</v>
      </c>
      <c r="H60" s="8" t="e">
        <f t="shared" si="7"/>
        <v>#DIV/0!</v>
      </c>
      <c r="I60" s="45" t="s">
        <v>102</v>
      </c>
      <c r="J60" s="45" t="s">
        <v>101</v>
      </c>
      <c r="K60" s="142">
        <f t="shared" si="9"/>
        <v>0.5</v>
      </c>
      <c r="L60" s="45" t="s">
        <v>91</v>
      </c>
      <c r="M60" s="45" t="s">
        <v>102</v>
      </c>
      <c r="N60" s="142">
        <f t="shared" si="10"/>
        <v>0.5</v>
      </c>
      <c r="O60" s="50" t="s">
        <v>467</v>
      </c>
      <c r="P60" s="50" t="s">
        <v>468</v>
      </c>
      <c r="Q60" s="8">
        <f t="shared" si="11"/>
        <v>0.96</v>
      </c>
      <c r="R60">
        <v>19</v>
      </c>
    </row>
    <row r="61" spans="1:18" ht="14.45" x14ac:dyDescent="0.3">
      <c r="A61" s="13">
        <v>41548</v>
      </c>
      <c r="B61" s="8">
        <v>0.9</v>
      </c>
      <c r="C61" s="45" t="s">
        <v>292</v>
      </c>
      <c r="D61" s="45" t="s">
        <v>475</v>
      </c>
      <c r="E61" s="142">
        <f t="shared" si="8"/>
        <v>0.96416938110749184</v>
      </c>
      <c r="F61" s="45" t="s">
        <v>102</v>
      </c>
      <c r="G61" s="45" t="s">
        <v>102</v>
      </c>
      <c r="H61" s="8">
        <f t="shared" si="7"/>
        <v>1</v>
      </c>
      <c r="I61" s="45" t="s">
        <v>102</v>
      </c>
      <c r="J61" s="45" t="s">
        <v>102</v>
      </c>
      <c r="K61" s="142">
        <f t="shared" si="9"/>
        <v>1</v>
      </c>
      <c r="L61" s="45" t="s">
        <v>173</v>
      </c>
      <c r="M61" s="45" t="s">
        <v>90</v>
      </c>
      <c r="N61" s="142">
        <f t="shared" si="10"/>
        <v>0.83333333333333337</v>
      </c>
      <c r="O61" s="50" t="s">
        <v>83</v>
      </c>
      <c r="P61" s="50" t="s">
        <v>476</v>
      </c>
      <c r="Q61" s="8">
        <f t="shared" si="11"/>
        <v>0.96632996632996637</v>
      </c>
      <c r="R61">
        <v>4</v>
      </c>
    </row>
    <row r="62" spans="1:18" ht="14.45" x14ac:dyDescent="0.3">
      <c r="A62" s="13">
        <v>41579</v>
      </c>
      <c r="B62" s="8">
        <v>0.9</v>
      </c>
      <c r="C62" s="45" t="s">
        <v>251</v>
      </c>
      <c r="D62" s="45" t="s">
        <v>483</v>
      </c>
      <c r="E62" s="142">
        <f t="shared" si="8"/>
        <v>0.98283261802575106</v>
      </c>
      <c r="F62" s="45" t="s">
        <v>101</v>
      </c>
      <c r="G62" s="45" t="s">
        <v>174</v>
      </c>
      <c r="H62" s="8">
        <f t="shared" si="7"/>
        <v>0</v>
      </c>
      <c r="I62" s="45" t="s">
        <v>101</v>
      </c>
      <c r="J62" s="45" t="s">
        <v>101</v>
      </c>
      <c r="K62" s="142">
        <f t="shared" si="9"/>
        <v>1</v>
      </c>
      <c r="L62" s="45" t="s">
        <v>90</v>
      </c>
      <c r="M62" s="45" t="s">
        <v>100</v>
      </c>
      <c r="N62" s="142">
        <f t="shared" si="10"/>
        <v>0.6</v>
      </c>
      <c r="O62" s="50" t="s">
        <v>484</v>
      </c>
      <c r="P62" s="50" t="s">
        <v>485</v>
      </c>
      <c r="Q62" s="8">
        <f t="shared" si="11"/>
        <v>0.99557522123893805</v>
      </c>
      <c r="R62">
        <v>20</v>
      </c>
    </row>
    <row r="63" spans="1:18" ht="14.45" x14ac:dyDescent="0.3">
      <c r="A63" s="13">
        <v>41609</v>
      </c>
      <c r="B63" s="8">
        <v>0.9</v>
      </c>
      <c r="C63" s="45" t="s">
        <v>109</v>
      </c>
      <c r="D63" s="45" t="s">
        <v>258</v>
      </c>
      <c r="E63" s="142">
        <f t="shared" si="8"/>
        <v>0.93251533742331283</v>
      </c>
      <c r="F63" s="45" t="s">
        <v>100</v>
      </c>
      <c r="G63" s="45" t="s">
        <v>100</v>
      </c>
      <c r="H63" s="8">
        <f t="shared" si="7"/>
        <v>1</v>
      </c>
      <c r="I63" s="45" t="s">
        <v>174</v>
      </c>
      <c r="J63" s="45" t="s">
        <v>174</v>
      </c>
      <c r="K63" s="142" t="e">
        <f t="shared" si="9"/>
        <v>#DIV/0!</v>
      </c>
      <c r="L63" s="45" t="s">
        <v>88</v>
      </c>
      <c r="M63" s="45" t="s">
        <v>173</v>
      </c>
      <c r="N63" s="142">
        <f t="shared" si="10"/>
        <v>0.6</v>
      </c>
      <c r="O63" s="50" t="s">
        <v>133</v>
      </c>
      <c r="P63" s="50" t="s">
        <v>147</v>
      </c>
      <c r="Q63" s="8">
        <f t="shared" si="11"/>
        <v>0.95333333333333337</v>
      </c>
      <c r="R63">
        <v>1</v>
      </c>
    </row>
    <row r="64" spans="1:18" ht="14.45" x14ac:dyDescent="0.3">
      <c r="A64" s="13">
        <v>41640</v>
      </c>
      <c r="B64" s="8">
        <v>0.9</v>
      </c>
      <c r="C64" s="45" t="s">
        <v>103</v>
      </c>
      <c r="D64" s="45" t="s">
        <v>103</v>
      </c>
      <c r="E64" s="142">
        <f t="shared" si="8"/>
        <v>1</v>
      </c>
      <c r="F64" s="45" t="s">
        <v>174</v>
      </c>
      <c r="G64" s="45" t="s">
        <v>174</v>
      </c>
      <c r="H64" s="8" t="e">
        <f t="shared" si="7"/>
        <v>#DIV/0!</v>
      </c>
      <c r="I64" s="45" t="s">
        <v>101</v>
      </c>
      <c r="J64" s="45" t="s">
        <v>101</v>
      </c>
      <c r="K64" s="142">
        <f t="shared" si="9"/>
        <v>1</v>
      </c>
      <c r="L64" s="45" t="s">
        <v>102</v>
      </c>
      <c r="M64" s="45" t="s">
        <v>102</v>
      </c>
      <c r="N64" s="142">
        <f t="shared" si="10"/>
        <v>1</v>
      </c>
      <c r="O64" s="50" t="s">
        <v>143</v>
      </c>
      <c r="P64" s="50" t="s">
        <v>143</v>
      </c>
      <c r="Q64" s="8">
        <f t="shared" si="11"/>
        <v>1</v>
      </c>
      <c r="R64">
        <v>2</v>
      </c>
    </row>
    <row r="65" spans="1:18" ht="14.45" x14ac:dyDescent="0.3">
      <c r="A65" s="13">
        <v>41671</v>
      </c>
      <c r="B65" s="8">
        <v>0.9</v>
      </c>
      <c r="C65" s="45" t="s">
        <v>504</v>
      </c>
      <c r="D65" s="45" t="s">
        <v>314</v>
      </c>
      <c r="E65" s="142">
        <f t="shared" si="8"/>
        <v>0.94907407407407407</v>
      </c>
      <c r="F65" s="45" t="s">
        <v>100</v>
      </c>
      <c r="G65" s="45" t="s">
        <v>102</v>
      </c>
      <c r="H65" s="8">
        <f t="shared" si="7"/>
        <v>0.66666666666666663</v>
      </c>
      <c r="I65" s="45" t="s">
        <v>173</v>
      </c>
      <c r="J65" s="45" t="s">
        <v>173</v>
      </c>
      <c r="K65" s="142">
        <f t="shared" si="9"/>
        <v>1</v>
      </c>
      <c r="L65" s="45" t="s">
        <v>90</v>
      </c>
      <c r="M65" s="45" t="s">
        <v>90</v>
      </c>
      <c r="N65" s="142">
        <f t="shared" si="10"/>
        <v>1</v>
      </c>
      <c r="O65" s="50" t="s">
        <v>505</v>
      </c>
      <c r="P65" s="50" t="s">
        <v>468</v>
      </c>
      <c r="Q65" s="8">
        <f t="shared" si="11"/>
        <v>0.95049504950495045</v>
      </c>
      <c r="R65">
        <v>1</v>
      </c>
    </row>
    <row r="66" spans="1:18" ht="14.45" x14ac:dyDescent="0.3">
      <c r="A66" s="13">
        <v>41699</v>
      </c>
      <c r="B66" s="8">
        <v>0.9</v>
      </c>
      <c r="C66" s="45" t="s">
        <v>237</v>
      </c>
      <c r="D66" s="45" t="s">
        <v>484</v>
      </c>
      <c r="E66" s="142">
        <f t="shared" si="8"/>
        <v>0.94560669456066948</v>
      </c>
      <c r="F66" s="45" t="s">
        <v>174</v>
      </c>
      <c r="G66" s="45" t="s">
        <v>174</v>
      </c>
      <c r="H66" s="8" t="e">
        <f t="shared" ref="H66:H68" si="12">G66/F66</f>
        <v>#DIV/0!</v>
      </c>
      <c r="I66" s="45" t="s">
        <v>102</v>
      </c>
      <c r="J66" s="45" t="s">
        <v>102</v>
      </c>
      <c r="K66" s="142">
        <f t="shared" ref="K66:K68" si="13">J66/I66</f>
        <v>1</v>
      </c>
      <c r="L66" s="45" t="s">
        <v>252</v>
      </c>
      <c r="M66" s="45" t="s">
        <v>90</v>
      </c>
      <c r="N66" s="142">
        <f t="shared" ref="N66:N68" si="14">M66/L66</f>
        <v>0.7142857142857143</v>
      </c>
      <c r="O66" s="50" t="s">
        <v>513</v>
      </c>
      <c r="P66" s="50" t="s">
        <v>514</v>
      </c>
      <c r="Q66" s="8">
        <f t="shared" ref="Q66:Q68" si="15">P66/O66</f>
        <v>0.95217391304347831</v>
      </c>
      <c r="R66">
        <v>1</v>
      </c>
    </row>
    <row r="67" spans="1:18" ht="14.45" x14ac:dyDescent="0.3">
      <c r="A67" s="13">
        <v>41730</v>
      </c>
      <c r="B67" s="8">
        <v>0.9</v>
      </c>
      <c r="C67" s="45" t="s">
        <v>135</v>
      </c>
      <c r="D67" s="45" t="s">
        <v>211</v>
      </c>
      <c r="E67" s="142">
        <f t="shared" si="8"/>
        <v>0.87790697674418605</v>
      </c>
      <c r="F67" s="45" t="s">
        <v>174</v>
      </c>
      <c r="G67" s="45" t="s">
        <v>174</v>
      </c>
      <c r="H67" s="8" t="e">
        <f t="shared" si="12"/>
        <v>#DIV/0!</v>
      </c>
      <c r="I67" s="45" t="s">
        <v>101</v>
      </c>
      <c r="J67" s="45" t="s">
        <v>101</v>
      </c>
      <c r="K67" s="142">
        <f t="shared" si="13"/>
        <v>1</v>
      </c>
      <c r="L67" s="45" t="s">
        <v>102</v>
      </c>
      <c r="M67" s="45" t="s">
        <v>101</v>
      </c>
      <c r="N67" s="142">
        <f t="shared" si="14"/>
        <v>0.5</v>
      </c>
      <c r="O67" s="50" t="s">
        <v>235</v>
      </c>
      <c r="P67" s="50" t="s">
        <v>519</v>
      </c>
      <c r="Q67" s="8">
        <f t="shared" si="15"/>
        <v>0.88165680473372776</v>
      </c>
      <c r="R67">
        <v>0</v>
      </c>
    </row>
    <row r="68" spans="1:18" ht="14.45" x14ac:dyDescent="0.3">
      <c r="A68" s="13">
        <v>41760</v>
      </c>
      <c r="B68" s="8">
        <v>0.9</v>
      </c>
      <c r="C68" s="45" t="s">
        <v>525</v>
      </c>
      <c r="D68" s="45" t="s">
        <v>398</v>
      </c>
      <c r="E68" s="142">
        <f t="shared" si="8"/>
        <v>0.9221789883268483</v>
      </c>
      <c r="F68" s="45" t="s">
        <v>174</v>
      </c>
      <c r="G68" s="45" t="s">
        <v>174</v>
      </c>
      <c r="H68" s="8" t="e">
        <f t="shared" si="12"/>
        <v>#DIV/0!</v>
      </c>
      <c r="I68" s="45" t="s">
        <v>102</v>
      </c>
      <c r="J68" s="45" t="s">
        <v>102</v>
      </c>
      <c r="K68" s="142">
        <f t="shared" si="13"/>
        <v>1</v>
      </c>
      <c r="L68" s="45" t="s">
        <v>100</v>
      </c>
      <c r="M68" s="45" t="s">
        <v>102</v>
      </c>
      <c r="N68" s="142">
        <f t="shared" si="14"/>
        <v>0.66666666666666663</v>
      </c>
      <c r="O68" s="50" t="s">
        <v>526</v>
      </c>
      <c r="P68" s="50" t="s">
        <v>251</v>
      </c>
      <c r="Q68" s="8">
        <f t="shared" si="15"/>
        <v>0.92460317460317465</v>
      </c>
      <c r="R68">
        <v>0</v>
      </c>
    </row>
    <row r="69" spans="1:18" ht="14.45" x14ac:dyDescent="0.3">
      <c r="A69" s="13">
        <v>41791</v>
      </c>
      <c r="B69" s="8">
        <v>0.9</v>
      </c>
      <c r="C69" s="45" t="s">
        <v>280</v>
      </c>
      <c r="D69" s="45" t="s">
        <v>94</v>
      </c>
      <c r="E69" s="142">
        <f t="shared" ref="E69:E71" si="16">D69/C69</f>
        <v>0.92207792207792205</v>
      </c>
      <c r="F69" s="45" t="s">
        <v>100</v>
      </c>
      <c r="G69" s="45" t="s">
        <v>100</v>
      </c>
      <c r="H69" s="8">
        <f t="shared" ref="H69:H71" si="17">G69/F69</f>
        <v>1</v>
      </c>
      <c r="I69" s="45" t="s">
        <v>100</v>
      </c>
      <c r="J69" s="45" t="s">
        <v>102</v>
      </c>
      <c r="K69" s="142">
        <f t="shared" ref="K69:K71" si="18">J69/I69</f>
        <v>0.66666666666666663</v>
      </c>
      <c r="L69" s="45" t="s">
        <v>253</v>
      </c>
      <c r="M69" s="45" t="s">
        <v>253</v>
      </c>
      <c r="N69" s="142">
        <f t="shared" ref="N69:N71" si="19">M69/L69</f>
        <v>1</v>
      </c>
      <c r="O69" s="50" t="s">
        <v>504</v>
      </c>
      <c r="P69" s="50" t="s">
        <v>532</v>
      </c>
      <c r="Q69" s="8">
        <f t="shared" ref="Q69:Q71" si="20">P69/O69</f>
        <v>0.92129629629629628</v>
      </c>
      <c r="R69">
        <v>0</v>
      </c>
    </row>
    <row r="70" spans="1:18" ht="14.45" x14ac:dyDescent="0.3">
      <c r="A70" s="13">
        <v>41821</v>
      </c>
      <c r="B70" s="8">
        <v>0.9</v>
      </c>
      <c r="C70" s="45" t="s">
        <v>502</v>
      </c>
      <c r="D70" s="45" t="s">
        <v>537</v>
      </c>
      <c r="E70" s="142">
        <f t="shared" si="16"/>
        <v>0.90769230769230769</v>
      </c>
      <c r="F70" s="45" t="s">
        <v>101</v>
      </c>
      <c r="G70" s="45" t="s">
        <v>174</v>
      </c>
      <c r="H70" s="8">
        <f t="shared" si="17"/>
        <v>0</v>
      </c>
      <c r="I70" s="45" t="s">
        <v>102</v>
      </c>
      <c r="J70" s="45" t="s">
        <v>102</v>
      </c>
      <c r="K70" s="142">
        <f t="shared" si="18"/>
        <v>1</v>
      </c>
      <c r="L70" s="45" t="s">
        <v>253</v>
      </c>
      <c r="M70" s="45" t="s">
        <v>252</v>
      </c>
      <c r="N70" s="142">
        <f t="shared" si="19"/>
        <v>0.77777777777777779</v>
      </c>
      <c r="O70" s="50" t="s">
        <v>208</v>
      </c>
      <c r="P70" s="50" t="s">
        <v>400</v>
      </c>
      <c r="Q70" s="8">
        <f t="shared" si="20"/>
        <v>0.91532258064516125</v>
      </c>
      <c r="R70">
        <v>0</v>
      </c>
    </row>
    <row r="71" spans="1:18" ht="14.45" x14ac:dyDescent="0.3">
      <c r="A71" s="13">
        <v>41852</v>
      </c>
      <c r="B71" s="8">
        <v>0.9</v>
      </c>
      <c r="C71" s="45" t="s">
        <v>514</v>
      </c>
      <c r="D71" s="45" t="s">
        <v>314</v>
      </c>
      <c r="E71" s="142">
        <f t="shared" si="16"/>
        <v>0.9360730593607306</v>
      </c>
      <c r="F71" s="45" t="s">
        <v>174</v>
      </c>
      <c r="G71" s="45" t="s">
        <v>174</v>
      </c>
      <c r="H71" s="8" t="e">
        <f t="shared" si="17"/>
        <v>#DIV/0!</v>
      </c>
      <c r="I71" s="45" t="s">
        <v>101</v>
      </c>
      <c r="J71" s="45" t="s">
        <v>174</v>
      </c>
      <c r="K71" s="142">
        <f t="shared" si="18"/>
        <v>0</v>
      </c>
      <c r="L71" s="45" t="s">
        <v>100</v>
      </c>
      <c r="M71" s="45" t="s">
        <v>100</v>
      </c>
      <c r="N71" s="142">
        <f t="shared" si="19"/>
        <v>1</v>
      </c>
      <c r="O71" s="50" t="s">
        <v>508</v>
      </c>
      <c r="P71" s="50" t="s">
        <v>505</v>
      </c>
      <c r="Q71" s="8">
        <f t="shared" si="20"/>
        <v>0.93953488372093019</v>
      </c>
      <c r="R71">
        <v>0</v>
      </c>
    </row>
    <row r="72" spans="1:18" ht="14.45" x14ac:dyDescent="0.3">
      <c r="A72" s="13"/>
      <c r="B72" s="8"/>
      <c r="C72" s="45"/>
      <c r="D72" s="45"/>
      <c r="E72" s="7"/>
      <c r="F72" s="45"/>
      <c r="G72" s="45"/>
      <c r="H72" s="7"/>
      <c r="I72" s="45"/>
      <c r="J72" s="45"/>
      <c r="K72" s="7"/>
      <c r="L72" s="45"/>
      <c r="M72" s="45"/>
      <c r="N72" s="7"/>
      <c r="O72" s="47"/>
      <c r="P72" s="47"/>
      <c r="Q72" s="11"/>
    </row>
    <row r="73" spans="1:18" ht="14.45" x14ac:dyDescent="0.3">
      <c r="A73" s="13"/>
      <c r="B73" s="14"/>
      <c r="C73" s="46"/>
      <c r="D73" s="46"/>
      <c r="E73" s="11"/>
      <c r="F73" s="46"/>
      <c r="G73" s="46"/>
      <c r="H73" s="11"/>
      <c r="I73" s="46"/>
      <c r="J73" s="46"/>
      <c r="K73" s="11"/>
      <c r="L73" s="46"/>
      <c r="M73" s="46"/>
      <c r="N73" s="11"/>
      <c r="O73" s="47"/>
      <c r="P73" s="47"/>
      <c r="Q73" s="11"/>
    </row>
    <row r="74" spans="1:18" ht="14.45" x14ac:dyDescent="0.3">
      <c r="A74" s="15"/>
      <c r="B74" s="16"/>
      <c r="C74" s="46"/>
      <c r="D74" s="46"/>
      <c r="E74" s="11"/>
      <c r="F74" s="46"/>
      <c r="G74" s="46"/>
      <c r="H74" s="11"/>
      <c r="I74" s="46"/>
      <c r="J74" s="46"/>
      <c r="K74" s="11"/>
      <c r="L74" s="46"/>
      <c r="M74" s="46"/>
      <c r="N74" s="11"/>
      <c r="O74" s="47"/>
      <c r="P74" s="47"/>
      <c r="Q74" s="11"/>
    </row>
    <row r="75" spans="1:18" ht="14.45" x14ac:dyDescent="0.3">
      <c r="A75" s="15"/>
      <c r="B75" s="16"/>
      <c r="C75" s="46"/>
      <c r="D75" s="46"/>
      <c r="E75" s="11"/>
      <c r="F75" s="46"/>
      <c r="G75" s="46"/>
      <c r="H75" s="11"/>
      <c r="I75" s="46"/>
      <c r="J75" s="46"/>
      <c r="K75" s="11"/>
      <c r="L75" s="46"/>
      <c r="M75" s="46"/>
      <c r="N75" s="11"/>
      <c r="O75" s="47"/>
      <c r="P75" s="47"/>
      <c r="Q75" s="11"/>
    </row>
    <row r="76" spans="1:18" ht="14.45" x14ac:dyDescent="0.3">
      <c r="A76" s="3"/>
      <c r="B76" s="11"/>
      <c r="C76" s="46"/>
      <c r="D76" s="46"/>
      <c r="E76" s="11"/>
      <c r="F76" s="46"/>
      <c r="G76" s="46"/>
      <c r="H76" s="11"/>
      <c r="I76" s="46"/>
      <c r="J76" s="46"/>
      <c r="K76" s="11"/>
      <c r="L76" s="46"/>
      <c r="M76" s="46"/>
      <c r="N76" s="11"/>
      <c r="O76" s="47"/>
      <c r="P76" s="47"/>
      <c r="Q76" s="11"/>
    </row>
    <row r="92" spans="1:16" ht="14.45" x14ac:dyDescent="0.3">
      <c r="B92" t="s">
        <v>179</v>
      </c>
      <c r="C92"/>
      <c r="D92"/>
      <c r="E92"/>
      <c r="F92"/>
      <c r="G92"/>
    </row>
    <row r="93" spans="1:16" ht="14.45" x14ac:dyDescent="0.3">
      <c r="A93" t="s">
        <v>72</v>
      </c>
      <c r="B93" s="39" t="s">
        <v>0</v>
      </c>
      <c r="C93" s="39" t="s">
        <v>182</v>
      </c>
      <c r="D93" t="s">
        <v>183</v>
      </c>
      <c r="E93" t="s">
        <v>187</v>
      </c>
      <c r="F93" t="s">
        <v>185</v>
      </c>
      <c r="G93" t="s">
        <v>186</v>
      </c>
      <c r="H93" t="s">
        <v>192</v>
      </c>
    </row>
    <row r="94" spans="1:16" ht="14.45" x14ac:dyDescent="0.3">
      <c r="A94" s="13">
        <v>41061</v>
      </c>
      <c r="B94" s="29">
        <f>SUM(C94:H94)</f>
        <v>150</v>
      </c>
      <c r="C94" s="29">
        <v>116</v>
      </c>
      <c r="D94" s="29">
        <v>21</v>
      </c>
      <c r="E94" s="29">
        <v>7</v>
      </c>
      <c r="F94" s="29">
        <v>6</v>
      </c>
      <c r="G94" s="29">
        <v>0</v>
      </c>
      <c r="H94" s="29">
        <v>0</v>
      </c>
      <c r="J94" s="39"/>
      <c r="K94" s="39"/>
      <c r="L94" s="39"/>
    </row>
    <row r="95" spans="1:16" ht="14.45" x14ac:dyDescent="0.3">
      <c r="A95" s="13">
        <v>41091</v>
      </c>
      <c r="B95" s="102">
        <f>SUM(C95:H95)</f>
        <v>113</v>
      </c>
      <c r="C95" s="123">
        <v>70</v>
      </c>
      <c r="D95" s="124">
        <v>31</v>
      </c>
      <c r="E95" s="124">
        <v>7</v>
      </c>
      <c r="F95" s="124">
        <v>4</v>
      </c>
      <c r="G95" s="124">
        <v>0</v>
      </c>
      <c r="H95" s="124">
        <v>1</v>
      </c>
      <c r="I95" s="56"/>
      <c r="J95" s="56"/>
      <c r="K95" s="56"/>
      <c r="L95" s="39"/>
      <c r="M95" s="39"/>
      <c r="N95" s="39"/>
      <c r="O95" s="39"/>
      <c r="P95" s="39"/>
    </row>
    <row r="96" spans="1:16" ht="14.45" x14ac:dyDescent="0.3">
      <c r="A96" s="13">
        <v>41122</v>
      </c>
      <c r="B96" s="29">
        <v>158</v>
      </c>
      <c r="C96" s="123">
        <v>126</v>
      </c>
      <c r="D96" s="124">
        <v>16</v>
      </c>
      <c r="E96" s="124">
        <v>10</v>
      </c>
      <c r="F96" s="124">
        <v>6</v>
      </c>
      <c r="G96" s="124">
        <v>0</v>
      </c>
      <c r="H96" s="124">
        <v>0</v>
      </c>
      <c r="I96" s="63"/>
      <c r="J96" s="56"/>
      <c r="K96" s="59"/>
    </row>
    <row r="97" spans="1:16" x14ac:dyDescent="0.25">
      <c r="A97" s="13">
        <v>41153</v>
      </c>
      <c r="B97" s="29">
        <v>98</v>
      </c>
      <c r="C97" s="123">
        <v>50</v>
      </c>
      <c r="D97" s="124">
        <v>39</v>
      </c>
      <c r="E97" s="124">
        <v>9</v>
      </c>
      <c r="F97" s="124">
        <v>0</v>
      </c>
      <c r="G97" s="124">
        <v>0</v>
      </c>
      <c r="H97" s="124">
        <v>0</v>
      </c>
      <c r="I97" s="56"/>
      <c r="J97" s="56"/>
      <c r="K97" s="59"/>
    </row>
    <row r="98" spans="1:16" x14ac:dyDescent="0.25">
      <c r="A98" s="13">
        <v>41183</v>
      </c>
      <c r="B98" s="29">
        <v>46</v>
      </c>
      <c r="C98" s="123">
        <v>46</v>
      </c>
      <c r="D98" s="124">
        <v>0</v>
      </c>
      <c r="E98" s="124">
        <v>0</v>
      </c>
      <c r="F98" s="124">
        <v>0</v>
      </c>
      <c r="G98" s="124">
        <v>0</v>
      </c>
      <c r="H98" s="124">
        <v>0</v>
      </c>
      <c r="I98" s="56"/>
      <c r="J98" s="56"/>
      <c r="K98" s="56"/>
      <c r="L98" s="39"/>
    </row>
    <row r="99" spans="1:16" x14ac:dyDescent="0.25">
      <c r="A99" s="13">
        <v>41214</v>
      </c>
      <c r="B99" s="29">
        <v>49</v>
      </c>
      <c r="C99" s="123">
        <v>47</v>
      </c>
      <c r="D99" s="124">
        <v>1</v>
      </c>
      <c r="E99" s="124">
        <v>0</v>
      </c>
      <c r="F99" s="124">
        <v>1</v>
      </c>
      <c r="G99" s="124">
        <v>0</v>
      </c>
      <c r="H99" s="124">
        <v>0</v>
      </c>
      <c r="I99" s="126"/>
      <c r="J99" s="56"/>
      <c r="K99" s="56"/>
      <c r="L99" s="51"/>
      <c r="M99" s="39"/>
      <c r="N99" s="39"/>
      <c r="O99" s="39"/>
      <c r="P99" s="39"/>
    </row>
    <row r="100" spans="1:16" x14ac:dyDescent="0.25">
      <c r="A100" s="13">
        <v>41244</v>
      </c>
      <c r="B100" s="29">
        <v>30</v>
      </c>
      <c r="C100" s="123">
        <v>30</v>
      </c>
      <c r="D100" s="124">
        <v>0</v>
      </c>
      <c r="E100" s="124">
        <v>0</v>
      </c>
      <c r="F100" s="124">
        <v>0</v>
      </c>
      <c r="G100" s="124">
        <v>0</v>
      </c>
      <c r="H100" s="124">
        <v>0</v>
      </c>
      <c r="I100" s="126"/>
      <c r="J100" s="62"/>
      <c r="K100" s="59"/>
    </row>
    <row r="101" spans="1:16" x14ac:dyDescent="0.25">
      <c r="A101" s="13">
        <v>41275</v>
      </c>
      <c r="B101" s="29">
        <v>100</v>
      </c>
      <c r="C101" s="123">
        <v>100</v>
      </c>
      <c r="D101" s="124">
        <v>0</v>
      </c>
      <c r="E101" s="124">
        <v>0</v>
      </c>
      <c r="F101" s="124">
        <v>0</v>
      </c>
      <c r="G101" s="124">
        <v>0</v>
      </c>
      <c r="H101" s="124">
        <v>0</v>
      </c>
      <c r="J101" s="59"/>
      <c r="K101" s="64"/>
    </row>
    <row r="102" spans="1:16" x14ac:dyDescent="0.25">
      <c r="A102" s="13">
        <v>41306</v>
      </c>
      <c r="B102" s="29">
        <v>67</v>
      </c>
      <c r="C102" s="188">
        <v>60</v>
      </c>
      <c r="D102" s="125">
        <v>7</v>
      </c>
      <c r="E102" s="125">
        <v>0</v>
      </c>
      <c r="F102" s="125">
        <v>0</v>
      </c>
      <c r="G102" s="125">
        <v>0</v>
      </c>
      <c r="H102" s="125">
        <v>0</v>
      </c>
      <c r="J102" s="59"/>
      <c r="K102" s="56"/>
      <c r="L102" s="39"/>
    </row>
    <row r="103" spans="1:16" x14ac:dyDescent="0.25">
      <c r="A103" s="13">
        <v>41334</v>
      </c>
      <c r="B103" s="29">
        <v>56</v>
      </c>
      <c r="C103" s="29">
        <v>55</v>
      </c>
      <c r="D103" s="29">
        <v>1</v>
      </c>
      <c r="E103" s="29">
        <v>0</v>
      </c>
      <c r="F103" s="29">
        <v>0</v>
      </c>
      <c r="G103" s="29">
        <v>0</v>
      </c>
      <c r="H103" s="29">
        <v>0</v>
      </c>
      <c r="J103" s="56"/>
      <c r="K103" s="62"/>
      <c r="L103" s="39"/>
      <c r="M103" s="39"/>
      <c r="N103" s="39"/>
      <c r="O103" s="39"/>
      <c r="P103" s="39"/>
    </row>
    <row r="104" spans="1:16" x14ac:dyDescent="0.25">
      <c r="A104" s="13">
        <v>41365</v>
      </c>
      <c r="B104" s="29">
        <v>102</v>
      </c>
      <c r="C104" s="188">
        <v>100</v>
      </c>
      <c r="D104" s="29">
        <v>2</v>
      </c>
      <c r="E104" s="29">
        <v>0</v>
      </c>
      <c r="F104" s="29">
        <v>0</v>
      </c>
      <c r="G104" s="29">
        <v>0</v>
      </c>
      <c r="H104" s="29">
        <v>0</v>
      </c>
      <c r="J104" s="61"/>
      <c r="K104" s="56"/>
    </row>
    <row r="105" spans="1:16" x14ac:dyDescent="0.25">
      <c r="A105" s="13">
        <v>41395</v>
      </c>
      <c r="B105" s="29">
        <v>81</v>
      </c>
      <c r="C105" s="188">
        <v>72</v>
      </c>
      <c r="D105" s="29">
        <v>9</v>
      </c>
      <c r="E105" s="29">
        <v>0</v>
      </c>
      <c r="F105" s="29">
        <v>0</v>
      </c>
      <c r="G105" s="29">
        <v>0</v>
      </c>
      <c r="H105" s="29">
        <v>0</v>
      </c>
      <c r="J105" s="59"/>
      <c r="K105" s="59"/>
    </row>
    <row r="106" spans="1:16" x14ac:dyDescent="0.25">
      <c r="A106" s="13">
        <v>41426</v>
      </c>
      <c r="B106" s="124">
        <v>90</v>
      </c>
      <c r="C106" s="124">
        <v>72</v>
      </c>
      <c r="D106" s="124">
        <v>10</v>
      </c>
      <c r="E106" s="124">
        <v>8</v>
      </c>
      <c r="F106" s="124">
        <v>0</v>
      </c>
      <c r="G106" s="124">
        <v>0</v>
      </c>
      <c r="H106" s="124">
        <v>0</v>
      </c>
      <c r="I106" s="59"/>
      <c r="J106" s="59"/>
      <c r="K106" s="56"/>
      <c r="L106" s="39"/>
    </row>
    <row r="107" spans="1:16" x14ac:dyDescent="0.25">
      <c r="A107" s="13">
        <v>41456</v>
      </c>
      <c r="B107" s="29">
        <v>77</v>
      </c>
      <c r="C107" s="29">
        <v>50</v>
      </c>
      <c r="D107" s="125">
        <v>12</v>
      </c>
      <c r="E107" s="125">
        <v>8</v>
      </c>
      <c r="F107" s="125">
        <v>7</v>
      </c>
      <c r="G107" s="125">
        <v>0</v>
      </c>
      <c r="H107" s="125">
        <v>0</v>
      </c>
      <c r="J107" s="39"/>
      <c r="K107" s="52"/>
      <c r="L107" s="53"/>
      <c r="M107" s="39"/>
      <c r="N107" s="39"/>
      <c r="O107" s="39"/>
      <c r="P107" s="39"/>
    </row>
    <row r="108" spans="1:16" x14ac:dyDescent="0.25">
      <c r="A108" s="13">
        <v>41487</v>
      </c>
      <c r="B108" s="29">
        <v>120</v>
      </c>
      <c r="C108" s="29">
        <v>99</v>
      </c>
      <c r="D108" s="125">
        <v>6</v>
      </c>
      <c r="E108" s="125">
        <v>1</v>
      </c>
      <c r="F108" s="125">
        <v>14</v>
      </c>
      <c r="G108" s="125">
        <v>0</v>
      </c>
      <c r="H108" s="125">
        <v>0</v>
      </c>
      <c r="J108" s="39"/>
      <c r="K108" s="52"/>
      <c r="L108" s="53"/>
      <c r="M108" s="39"/>
      <c r="N108" s="39"/>
      <c r="O108" s="39"/>
      <c r="P108" s="39"/>
    </row>
    <row r="109" spans="1:16" x14ac:dyDescent="0.25">
      <c r="A109" s="13">
        <v>41518</v>
      </c>
      <c r="B109" s="29">
        <v>83</v>
      </c>
      <c r="C109" s="29">
        <v>53</v>
      </c>
      <c r="D109" s="125">
        <v>12</v>
      </c>
      <c r="E109" s="125">
        <v>3</v>
      </c>
      <c r="F109" s="125">
        <v>15</v>
      </c>
      <c r="G109" s="125">
        <v>0</v>
      </c>
      <c r="H109" s="125">
        <v>0</v>
      </c>
      <c r="J109" s="39"/>
      <c r="K109" s="52"/>
      <c r="L109" s="53"/>
      <c r="M109" s="39"/>
      <c r="N109" s="39"/>
      <c r="O109" s="39"/>
      <c r="P109" s="39"/>
    </row>
    <row r="110" spans="1:16" x14ac:dyDescent="0.25">
      <c r="A110" s="13">
        <v>41548</v>
      </c>
      <c r="B110" s="9">
        <v>83</v>
      </c>
      <c r="C110" s="102">
        <v>64</v>
      </c>
      <c r="D110" s="125">
        <v>1</v>
      </c>
      <c r="E110" s="125">
        <v>2</v>
      </c>
      <c r="F110" s="125">
        <v>9</v>
      </c>
      <c r="G110" s="125">
        <v>7</v>
      </c>
      <c r="H110" s="125">
        <v>0</v>
      </c>
      <c r="J110" s="40"/>
    </row>
    <row r="111" spans="1:16" x14ac:dyDescent="0.25">
      <c r="A111" s="13">
        <v>41579</v>
      </c>
      <c r="B111" s="29">
        <v>80</v>
      </c>
      <c r="C111" s="29">
        <v>66</v>
      </c>
      <c r="D111" s="125">
        <v>3</v>
      </c>
      <c r="E111" s="125">
        <v>1</v>
      </c>
      <c r="F111" s="125">
        <v>3</v>
      </c>
      <c r="G111" s="125">
        <v>7</v>
      </c>
      <c r="H111" s="125">
        <v>0</v>
      </c>
    </row>
    <row r="112" spans="1:16" x14ac:dyDescent="0.25">
      <c r="A112" s="13">
        <v>41609</v>
      </c>
      <c r="B112" s="29">
        <v>72</v>
      </c>
      <c r="C112" s="29">
        <v>35</v>
      </c>
      <c r="D112" s="125">
        <v>26</v>
      </c>
      <c r="E112" s="125">
        <v>1</v>
      </c>
      <c r="F112" s="125">
        <v>3</v>
      </c>
      <c r="G112" s="125">
        <v>7</v>
      </c>
      <c r="H112" s="125">
        <v>0</v>
      </c>
      <c r="K112" s="39"/>
      <c r="L112" s="39"/>
    </row>
    <row r="113" spans="1:16" x14ac:dyDescent="0.25">
      <c r="A113" s="13">
        <v>41640</v>
      </c>
      <c r="B113" s="29">
        <v>109</v>
      </c>
      <c r="C113" s="29">
        <v>70</v>
      </c>
      <c r="D113" s="125">
        <v>3</v>
      </c>
      <c r="E113" s="125">
        <v>25</v>
      </c>
      <c r="F113" s="125">
        <v>2</v>
      </c>
      <c r="G113" s="125">
        <v>9</v>
      </c>
      <c r="H113" s="125">
        <v>0</v>
      </c>
      <c r="K113" s="40"/>
      <c r="L113" s="41"/>
      <c r="M113" s="39"/>
      <c r="N113" s="39"/>
      <c r="O113" s="39"/>
      <c r="P113" s="39"/>
    </row>
    <row r="114" spans="1:16" x14ac:dyDescent="0.25">
      <c r="A114" s="13">
        <v>41671</v>
      </c>
      <c r="B114" s="29">
        <v>99</v>
      </c>
      <c r="C114" s="29">
        <v>60</v>
      </c>
      <c r="D114" s="125">
        <v>4</v>
      </c>
      <c r="E114" s="125">
        <v>0</v>
      </c>
      <c r="F114" s="125">
        <v>26</v>
      </c>
      <c r="G114" s="125">
        <v>9</v>
      </c>
      <c r="H114" s="125">
        <v>0</v>
      </c>
    </row>
    <row r="115" spans="1:16" x14ac:dyDescent="0.25">
      <c r="A115" s="13">
        <v>41699</v>
      </c>
      <c r="B115" s="29">
        <v>105</v>
      </c>
      <c r="C115" s="29">
        <v>56</v>
      </c>
      <c r="D115" s="125">
        <v>13</v>
      </c>
      <c r="E115" s="125">
        <v>1</v>
      </c>
      <c r="F115" s="125">
        <v>25</v>
      </c>
      <c r="G115" s="125">
        <v>10</v>
      </c>
      <c r="H115" s="125">
        <v>0</v>
      </c>
    </row>
    <row r="116" spans="1:16" x14ac:dyDescent="0.25">
      <c r="A116" s="13">
        <v>41730</v>
      </c>
      <c r="B116" s="29">
        <v>133</v>
      </c>
      <c r="C116" s="29">
        <v>70</v>
      </c>
      <c r="D116" s="125">
        <v>23</v>
      </c>
      <c r="E116" s="125">
        <v>4</v>
      </c>
      <c r="F116" s="125">
        <v>26</v>
      </c>
      <c r="G116" s="125">
        <v>7</v>
      </c>
      <c r="H116" s="125">
        <v>3</v>
      </c>
    </row>
    <row r="117" spans="1:16" x14ac:dyDescent="0.25">
      <c r="A117" s="13">
        <v>41760</v>
      </c>
      <c r="B117" s="29">
        <v>105</v>
      </c>
      <c r="C117" s="29">
        <v>47</v>
      </c>
      <c r="D117" s="125">
        <v>7</v>
      </c>
      <c r="E117" s="125">
        <v>14</v>
      </c>
      <c r="F117" s="125">
        <v>2</v>
      </c>
      <c r="G117" s="125">
        <v>28</v>
      </c>
      <c r="H117" s="125">
        <v>7</v>
      </c>
    </row>
    <row r="118" spans="1:16" x14ac:dyDescent="0.25">
      <c r="A118" s="13">
        <v>41791</v>
      </c>
      <c r="B118" s="29">
        <v>116</v>
      </c>
      <c r="C118" s="29">
        <v>53</v>
      </c>
      <c r="D118" s="125">
        <v>19</v>
      </c>
      <c r="E118" s="125">
        <v>6</v>
      </c>
      <c r="F118" s="125">
        <v>3</v>
      </c>
      <c r="G118" s="125">
        <v>28</v>
      </c>
      <c r="H118" s="125">
        <v>7</v>
      </c>
    </row>
    <row r="119" spans="1:16" x14ac:dyDescent="0.25">
      <c r="A119" s="13">
        <v>41821</v>
      </c>
      <c r="B119" s="29">
        <v>99</v>
      </c>
      <c r="C119" s="29">
        <v>41</v>
      </c>
      <c r="D119" s="125">
        <v>13</v>
      </c>
      <c r="E119" s="125">
        <v>3</v>
      </c>
      <c r="F119" s="125">
        <v>7</v>
      </c>
      <c r="G119" s="125">
        <v>27</v>
      </c>
      <c r="H119" s="125">
        <v>8</v>
      </c>
    </row>
    <row r="120" spans="1:16" x14ac:dyDescent="0.25">
      <c r="A120" s="13">
        <v>41852</v>
      </c>
      <c r="B120" s="29">
        <v>123</v>
      </c>
      <c r="C120" s="29">
        <v>67</v>
      </c>
      <c r="D120" s="125">
        <v>9</v>
      </c>
      <c r="E120" s="125">
        <v>5</v>
      </c>
      <c r="F120" s="125">
        <v>7</v>
      </c>
      <c r="G120" s="125">
        <v>26</v>
      </c>
      <c r="H120" s="125">
        <v>9</v>
      </c>
    </row>
    <row r="121" spans="1:16" x14ac:dyDescent="0.25">
      <c r="C121"/>
      <c r="D121"/>
      <c r="E121"/>
      <c r="F121"/>
      <c r="G121"/>
    </row>
    <row r="122" spans="1:16" x14ac:dyDescent="0.25">
      <c r="C122"/>
      <c r="D122"/>
      <c r="E122"/>
      <c r="F122"/>
      <c r="G122"/>
    </row>
    <row r="123" spans="1:16" x14ac:dyDescent="0.25">
      <c r="C123"/>
      <c r="D123"/>
      <c r="E123"/>
      <c r="F123"/>
      <c r="G123"/>
    </row>
    <row r="124" spans="1:16" x14ac:dyDescent="0.25">
      <c r="C124"/>
      <c r="D124"/>
      <c r="E124"/>
      <c r="F124"/>
      <c r="G124"/>
    </row>
    <row r="125" spans="1:16" x14ac:dyDescent="0.25">
      <c r="C125"/>
      <c r="D125"/>
      <c r="E125"/>
      <c r="F125"/>
      <c r="G125"/>
    </row>
    <row r="126" spans="1:16" x14ac:dyDescent="0.25">
      <c r="C126"/>
      <c r="D126"/>
      <c r="E126"/>
      <c r="F126"/>
      <c r="G126"/>
    </row>
    <row r="127" spans="1:16" x14ac:dyDescent="0.25">
      <c r="B127" s="29"/>
      <c r="C127" s="29"/>
      <c r="D127" s="29"/>
      <c r="E127"/>
      <c r="F127"/>
      <c r="G127"/>
    </row>
    <row r="128" spans="1:16" x14ac:dyDescent="0.25">
      <c r="B128" s="29"/>
      <c r="C128" s="29"/>
      <c r="D128" s="29"/>
      <c r="E128"/>
      <c r="F128"/>
      <c r="G128"/>
    </row>
    <row r="129" spans="2:7" x14ac:dyDescent="0.25">
      <c r="B129" s="29"/>
      <c r="C129" s="29"/>
      <c r="D129" s="29"/>
      <c r="E129"/>
      <c r="F129"/>
      <c r="G129"/>
    </row>
    <row r="130" spans="2:7" x14ac:dyDescent="0.25">
      <c r="B130" s="29"/>
      <c r="C130" s="29"/>
      <c r="D130" s="29"/>
      <c r="E130"/>
      <c r="F130"/>
      <c r="G130"/>
    </row>
    <row r="131" spans="2:7" x14ac:dyDescent="0.25">
      <c r="C131"/>
      <c r="D131"/>
      <c r="E131"/>
      <c r="F131"/>
      <c r="G131"/>
    </row>
    <row r="132" spans="2:7" x14ac:dyDescent="0.25">
      <c r="C132"/>
      <c r="D132"/>
      <c r="E132"/>
      <c r="F132"/>
      <c r="G132"/>
    </row>
    <row r="133" spans="2:7" x14ac:dyDescent="0.25">
      <c r="C133"/>
      <c r="D133"/>
      <c r="E133"/>
      <c r="F133"/>
      <c r="G133"/>
    </row>
    <row r="134" spans="2:7" x14ac:dyDescent="0.25">
      <c r="C134"/>
      <c r="D134"/>
      <c r="E134"/>
      <c r="F134"/>
      <c r="G134"/>
    </row>
    <row r="135" spans="2:7" x14ac:dyDescent="0.25">
      <c r="C135"/>
      <c r="D135"/>
      <c r="E135"/>
      <c r="F135"/>
      <c r="G135"/>
    </row>
    <row r="136" spans="2:7" x14ac:dyDescent="0.25">
      <c r="C136"/>
      <c r="D136"/>
      <c r="E136"/>
      <c r="F136"/>
      <c r="G136"/>
    </row>
    <row r="137" spans="2:7" x14ac:dyDescent="0.25">
      <c r="C137"/>
      <c r="D137"/>
      <c r="E137"/>
      <c r="F137"/>
      <c r="G137"/>
    </row>
    <row r="138" spans="2:7" x14ac:dyDescent="0.25">
      <c r="C138"/>
      <c r="D138"/>
      <c r="E138"/>
      <c r="F138"/>
      <c r="G138"/>
    </row>
    <row r="139" spans="2:7" x14ac:dyDescent="0.25">
      <c r="C139"/>
      <c r="D139"/>
      <c r="E139"/>
      <c r="F139"/>
      <c r="G139"/>
    </row>
    <row r="140" spans="2:7" x14ac:dyDescent="0.25">
      <c r="C140"/>
      <c r="D140"/>
      <c r="E140"/>
      <c r="F140"/>
      <c r="G140"/>
    </row>
    <row r="141" spans="2:7" x14ac:dyDescent="0.25">
      <c r="C141"/>
      <c r="D141"/>
      <c r="E141"/>
      <c r="F141"/>
      <c r="G141"/>
    </row>
    <row r="142" spans="2:7" x14ac:dyDescent="0.25">
      <c r="C142"/>
      <c r="D142"/>
      <c r="E142"/>
      <c r="F142"/>
      <c r="G142"/>
    </row>
    <row r="143" spans="2:7" x14ac:dyDescent="0.25">
      <c r="C143"/>
      <c r="D143"/>
      <c r="E143"/>
      <c r="F143"/>
      <c r="G143"/>
    </row>
    <row r="144" spans="2:7" x14ac:dyDescent="0.25">
      <c r="C144"/>
      <c r="D144"/>
      <c r="E144"/>
      <c r="F144"/>
      <c r="G144"/>
    </row>
    <row r="145" spans="3:7" x14ac:dyDescent="0.25">
      <c r="C145"/>
      <c r="D145"/>
      <c r="E145"/>
      <c r="F145"/>
      <c r="G145"/>
    </row>
    <row r="146" spans="3:7" x14ac:dyDescent="0.25">
      <c r="C146"/>
      <c r="D146"/>
      <c r="E146"/>
      <c r="F146"/>
      <c r="G146"/>
    </row>
    <row r="147" spans="3:7" x14ac:dyDescent="0.25">
      <c r="C147"/>
      <c r="D147"/>
      <c r="E147"/>
      <c r="F147"/>
      <c r="G147"/>
    </row>
    <row r="148" spans="3:7" x14ac:dyDescent="0.25">
      <c r="C148"/>
      <c r="D148"/>
      <c r="E148"/>
      <c r="F148"/>
      <c r="G148"/>
    </row>
  </sheetData>
  <pageMargins left="0.25" right="0.25" top="0.75" bottom="0.75" header="0.3" footer="0.3"/>
  <pageSetup scale="41" orientation="portrait" r:id="rId1"/>
  <rowBreaks count="1" manualBreakCount="1">
    <brk id="34" max="16383" man="1"/>
  </rowBreaks>
  <colBreaks count="2" manualBreakCount="2">
    <brk id="4" max="1048575" man="1"/>
    <brk id="18" max="1048575" man="1"/>
  </colBreaks>
  <ignoredErrors>
    <ignoredError sqref="O42:P43 L42:M43 I42:J43 F42:G43 C37:D43 F45:G45 I45:J45 C45:D45 F46:G46 I46:J46 L46:M46 O46:P46 C47:D47 F47:G47 I47:J47 L47:M47 O47:P47 C48:D48 C49:D49 I49:J49 F49:G49 L49:M49 O49:P49 C50:D50 F50:G50 I50:J50 L50:M50 O50:P50 F48:G48 I48:J48 L45:M45 L48:M48 O45:P45 O48:P48 R48 C51:D51 F51:G51 I51:J51 L51:M51 O51:P51 C52:C53 D52:G52 K52 N52 L52:M52 Q52 O52:P52 D53 F53:G53 O53:P53 L53:M53 I53:J53 C54:G54 I54:Q54 C55:P55 B56:P56 C57 D57:Q57 D58 C58 E58:G58 I58:J58 L58:P58 C59:J59 L59:R59 C60:G60 C61:R61 C62:Q62 C63:J63 C64:G64 I60:Q60 L63:Q63 I64:P64 C65:Q65 C66:G66 I66:Q66 C67:G67 C68:G68 C69:Q69 C70:Q70 I67:P67 I68:Q68 C71:G71 I71:P71" numberStoredAsText="1"/>
    <ignoredError sqref="H45 H50:H51 H53 K58:K59 H58" evalError="1"/>
    <ignoredError sqref="H52 I52:J52 K53 H54 H60 K63 H64 H66 H68 H67 H71" evalError="1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159"/>
  <sheetViews>
    <sheetView topLeftCell="A103" zoomScaleNormal="100" zoomScaleSheetLayoutView="50" workbookViewId="0">
      <selection activeCell="I28" sqref="I28"/>
    </sheetView>
  </sheetViews>
  <sheetFormatPr defaultRowHeight="15" x14ac:dyDescent="0.25"/>
  <cols>
    <col min="1" max="1" width="11.5703125" customWidth="1"/>
    <col min="2" max="2" width="9.28515625" customWidth="1"/>
    <col min="3" max="3" width="10.28515625" style="39" customWidth="1"/>
    <col min="4" max="4" width="14.5703125" style="39" customWidth="1"/>
    <col min="5" max="5" width="8.85546875" style="39" customWidth="1"/>
    <col min="6" max="6" width="10.140625" style="39" customWidth="1"/>
    <col min="7" max="7" width="11.7109375" style="39" customWidth="1"/>
    <col min="8" max="8" width="10" bestFit="1" customWidth="1"/>
    <col min="9" max="9" width="10.28515625" customWidth="1"/>
    <col min="10" max="10" width="14.42578125" bestFit="1" customWidth="1"/>
    <col min="12" max="12" width="10.5703125" customWidth="1"/>
    <col min="13" max="13" width="14.42578125" bestFit="1" customWidth="1"/>
    <col min="15" max="16" width="10.28515625" customWidth="1"/>
  </cols>
  <sheetData>
    <row r="2" spans="1:5" ht="14.45" x14ac:dyDescent="0.3">
      <c r="A2" s="49" t="s">
        <v>72</v>
      </c>
      <c r="B2" s="6" t="s">
        <v>6</v>
      </c>
      <c r="C2" s="39" t="s">
        <v>0</v>
      </c>
      <c r="D2" s="39" t="s">
        <v>1</v>
      </c>
    </row>
    <row r="3" spans="1:5" ht="14.45" x14ac:dyDescent="0.3">
      <c r="A3" s="1">
        <v>40909</v>
      </c>
      <c r="B3" s="34">
        <v>300</v>
      </c>
      <c r="C3" s="40">
        <v>774</v>
      </c>
      <c r="D3" s="39">
        <v>415</v>
      </c>
      <c r="E3" s="20">
        <f t="shared" ref="E3:E13" si="0">+D3/C3</f>
        <v>0.53617571059431524</v>
      </c>
    </row>
    <row r="4" spans="1:5" ht="14.45" x14ac:dyDescent="0.3">
      <c r="A4" s="1">
        <v>40940</v>
      </c>
      <c r="B4" s="34">
        <v>300</v>
      </c>
      <c r="C4" s="40">
        <v>395</v>
      </c>
      <c r="D4" s="39">
        <v>81</v>
      </c>
      <c r="E4" s="20">
        <f t="shared" si="0"/>
        <v>0.20506329113924052</v>
      </c>
    </row>
    <row r="5" spans="1:5" ht="14.45" x14ac:dyDescent="0.3">
      <c r="A5" s="1">
        <v>40969</v>
      </c>
      <c r="B5" s="34">
        <v>300</v>
      </c>
      <c r="C5" s="40">
        <v>262</v>
      </c>
      <c r="D5" s="39">
        <v>108</v>
      </c>
      <c r="E5" s="20">
        <f t="shared" si="0"/>
        <v>0.41221374045801529</v>
      </c>
    </row>
    <row r="6" spans="1:5" ht="14.45" x14ac:dyDescent="0.3">
      <c r="A6" s="1">
        <v>41000</v>
      </c>
      <c r="B6" s="34">
        <v>300</v>
      </c>
      <c r="C6" s="40">
        <v>341</v>
      </c>
      <c r="D6" s="39">
        <v>164</v>
      </c>
      <c r="E6" s="20">
        <f t="shared" si="0"/>
        <v>0.48093841642228741</v>
      </c>
    </row>
    <row r="7" spans="1:5" ht="14.45" x14ac:dyDescent="0.3">
      <c r="A7" s="1">
        <v>41030</v>
      </c>
      <c r="B7" s="34">
        <v>300</v>
      </c>
      <c r="C7" s="40">
        <v>509</v>
      </c>
      <c r="D7" s="39">
        <v>386</v>
      </c>
      <c r="E7" s="20">
        <f t="shared" si="0"/>
        <v>0.75834970530451862</v>
      </c>
    </row>
    <row r="8" spans="1:5" ht="14.45" x14ac:dyDescent="0.3">
      <c r="A8" s="1">
        <v>41061</v>
      </c>
      <c r="B8" s="34">
        <v>300</v>
      </c>
      <c r="C8" s="40">
        <v>615</v>
      </c>
      <c r="D8" s="39">
        <v>257</v>
      </c>
      <c r="E8" s="20">
        <f t="shared" si="0"/>
        <v>0.41788617886178864</v>
      </c>
    </row>
    <row r="9" spans="1:5" ht="14.45" x14ac:dyDescent="0.3">
      <c r="A9" s="1">
        <v>41091</v>
      </c>
      <c r="B9" s="34">
        <v>300</v>
      </c>
      <c r="C9" s="40">
        <v>700</v>
      </c>
      <c r="D9" s="39">
        <v>320</v>
      </c>
      <c r="E9" s="20">
        <f t="shared" si="0"/>
        <v>0.45714285714285713</v>
      </c>
    </row>
    <row r="10" spans="1:5" ht="14.45" x14ac:dyDescent="0.3">
      <c r="A10" s="1">
        <v>41122</v>
      </c>
      <c r="B10" s="34">
        <v>300</v>
      </c>
      <c r="C10" s="40">
        <v>697</v>
      </c>
      <c r="D10" s="39">
        <v>358</v>
      </c>
      <c r="E10" s="20">
        <f t="shared" si="0"/>
        <v>0.51362984218077479</v>
      </c>
    </row>
    <row r="11" spans="1:5" ht="14.45" x14ac:dyDescent="0.3">
      <c r="A11" s="1">
        <v>41153</v>
      </c>
      <c r="B11" s="34">
        <v>300</v>
      </c>
      <c r="C11" s="40">
        <v>611</v>
      </c>
      <c r="D11" s="39">
        <v>332</v>
      </c>
      <c r="E11" s="20">
        <f t="shared" si="0"/>
        <v>0.54337152209492634</v>
      </c>
    </row>
    <row r="12" spans="1:5" ht="14.45" x14ac:dyDescent="0.3">
      <c r="A12" s="1">
        <v>41183</v>
      </c>
      <c r="B12" s="34">
        <v>300</v>
      </c>
      <c r="C12" s="40">
        <v>299</v>
      </c>
      <c r="D12" s="39">
        <v>47</v>
      </c>
      <c r="E12" s="20">
        <f t="shared" si="0"/>
        <v>0.15719063545150502</v>
      </c>
    </row>
    <row r="13" spans="1:5" ht="14.45" x14ac:dyDescent="0.3">
      <c r="A13" s="1">
        <v>41225</v>
      </c>
      <c r="B13" s="34">
        <v>300</v>
      </c>
      <c r="C13" s="40">
        <v>311</v>
      </c>
      <c r="D13" s="39">
        <v>120</v>
      </c>
      <c r="E13" s="20">
        <f t="shared" si="0"/>
        <v>0.38585209003215432</v>
      </c>
    </row>
    <row r="14" spans="1:5" ht="14.45" x14ac:dyDescent="0.3">
      <c r="A14" s="1">
        <v>41255</v>
      </c>
      <c r="B14" s="34">
        <v>300</v>
      </c>
      <c r="C14" s="40">
        <v>290</v>
      </c>
      <c r="D14" s="39">
        <v>124</v>
      </c>
      <c r="E14" s="20">
        <f t="shared" ref="E14:E34" si="1">+D14/C14</f>
        <v>0.42758620689655175</v>
      </c>
    </row>
    <row r="15" spans="1:5" ht="14.45" x14ac:dyDescent="0.3">
      <c r="A15" s="1">
        <v>41286</v>
      </c>
      <c r="B15" s="34">
        <v>300</v>
      </c>
      <c r="C15" s="40">
        <v>346</v>
      </c>
      <c r="D15" s="40">
        <v>121</v>
      </c>
      <c r="E15" s="20">
        <f t="shared" si="1"/>
        <v>0.34971098265895956</v>
      </c>
    </row>
    <row r="16" spans="1:5" ht="14.45" x14ac:dyDescent="0.3">
      <c r="A16" s="1">
        <v>41317</v>
      </c>
      <c r="B16" s="34">
        <v>300</v>
      </c>
      <c r="C16" s="41">
        <v>377</v>
      </c>
      <c r="D16" s="41">
        <v>179</v>
      </c>
      <c r="E16" s="20">
        <f t="shared" si="1"/>
        <v>0.47480106100795755</v>
      </c>
    </row>
    <row r="17" spans="1:5" ht="14.45" x14ac:dyDescent="0.3">
      <c r="A17" s="1">
        <v>41345</v>
      </c>
      <c r="B17" s="34">
        <v>300</v>
      </c>
      <c r="C17" s="41">
        <v>286</v>
      </c>
      <c r="D17" s="41">
        <v>123</v>
      </c>
      <c r="E17" s="20">
        <f t="shared" si="1"/>
        <v>0.43006993006993005</v>
      </c>
    </row>
    <row r="18" spans="1:5" ht="14.45" x14ac:dyDescent="0.3">
      <c r="A18" s="1">
        <v>41376</v>
      </c>
      <c r="B18" s="34">
        <v>300</v>
      </c>
      <c r="C18" s="41">
        <v>285</v>
      </c>
      <c r="D18" s="41">
        <v>59</v>
      </c>
      <c r="E18" s="20">
        <f t="shared" si="1"/>
        <v>0.20701754385964913</v>
      </c>
    </row>
    <row r="19" spans="1:5" ht="14.45" x14ac:dyDescent="0.3">
      <c r="A19" s="1">
        <v>41406</v>
      </c>
      <c r="B19" s="34">
        <v>300</v>
      </c>
      <c r="C19" s="41">
        <v>533</v>
      </c>
      <c r="D19" s="41">
        <v>95</v>
      </c>
      <c r="E19" s="20">
        <f t="shared" si="1"/>
        <v>0.17823639774859287</v>
      </c>
    </row>
    <row r="20" spans="1:5" ht="14.45" x14ac:dyDescent="0.3">
      <c r="A20" s="1">
        <v>41437</v>
      </c>
      <c r="B20" s="34">
        <v>300</v>
      </c>
      <c r="C20" s="41">
        <v>461</v>
      </c>
      <c r="D20" s="41">
        <v>220</v>
      </c>
      <c r="E20" s="20">
        <f t="shared" si="1"/>
        <v>0.47722342733188722</v>
      </c>
    </row>
    <row r="21" spans="1:5" ht="14.45" x14ac:dyDescent="0.3">
      <c r="A21" s="1">
        <v>41467</v>
      </c>
      <c r="B21" s="34">
        <v>300</v>
      </c>
      <c r="C21" s="41">
        <v>531</v>
      </c>
      <c r="D21" s="41">
        <v>181</v>
      </c>
      <c r="E21" s="20">
        <f t="shared" si="1"/>
        <v>0.3408662900188324</v>
      </c>
    </row>
    <row r="22" spans="1:5" ht="14.45" x14ac:dyDescent="0.3">
      <c r="A22" s="1">
        <v>41498</v>
      </c>
      <c r="B22" s="34">
        <v>300</v>
      </c>
      <c r="C22" s="41">
        <v>644</v>
      </c>
      <c r="D22" s="41">
        <v>194</v>
      </c>
      <c r="E22" s="20">
        <f t="shared" si="1"/>
        <v>0.30124223602484473</v>
      </c>
    </row>
    <row r="23" spans="1:5" ht="14.45" x14ac:dyDescent="0.3">
      <c r="A23" s="1">
        <v>41529</v>
      </c>
      <c r="B23" s="34">
        <v>300</v>
      </c>
      <c r="C23" s="41">
        <v>502</v>
      </c>
      <c r="D23" s="41">
        <v>201</v>
      </c>
      <c r="E23" s="20">
        <f t="shared" si="1"/>
        <v>0.40039840637450197</v>
      </c>
    </row>
    <row r="24" spans="1:5" ht="14.45" x14ac:dyDescent="0.3">
      <c r="A24" s="1">
        <v>41559</v>
      </c>
      <c r="B24" s="34">
        <v>300</v>
      </c>
      <c r="C24" s="41">
        <v>342</v>
      </c>
      <c r="D24" s="41">
        <v>29</v>
      </c>
      <c r="E24" s="20">
        <f t="shared" si="1"/>
        <v>8.4795321637426896E-2</v>
      </c>
    </row>
    <row r="25" spans="1:5" ht="14.45" x14ac:dyDescent="0.3">
      <c r="A25" s="1">
        <v>41590</v>
      </c>
      <c r="B25" s="34">
        <v>300</v>
      </c>
      <c r="C25" s="41">
        <v>279</v>
      </c>
      <c r="D25" s="41">
        <v>97</v>
      </c>
      <c r="E25" s="20">
        <f t="shared" si="1"/>
        <v>0.34767025089605735</v>
      </c>
    </row>
    <row r="26" spans="1:5" ht="14.45" x14ac:dyDescent="0.3">
      <c r="A26" s="1">
        <v>41620</v>
      </c>
      <c r="B26" s="34">
        <v>300</v>
      </c>
      <c r="C26" s="41">
        <v>285</v>
      </c>
      <c r="D26" s="41">
        <v>93</v>
      </c>
      <c r="E26" s="20">
        <f t="shared" si="1"/>
        <v>0.32631578947368423</v>
      </c>
    </row>
    <row r="27" spans="1:5" ht="14.45" x14ac:dyDescent="0.3">
      <c r="A27" s="1">
        <v>41651</v>
      </c>
      <c r="B27" s="34">
        <v>300</v>
      </c>
      <c r="C27" s="41">
        <v>395</v>
      </c>
      <c r="D27" s="41">
        <v>150</v>
      </c>
      <c r="E27" s="20">
        <f t="shared" si="1"/>
        <v>0.379746835443038</v>
      </c>
    </row>
    <row r="28" spans="1:5" ht="14.45" x14ac:dyDescent="0.3">
      <c r="A28" s="1">
        <v>41682</v>
      </c>
      <c r="B28" s="34">
        <v>300</v>
      </c>
      <c r="C28" s="41">
        <v>309</v>
      </c>
      <c r="D28" s="41">
        <v>142</v>
      </c>
      <c r="E28" s="20">
        <f t="shared" si="1"/>
        <v>0.45954692556634302</v>
      </c>
    </row>
    <row r="29" spans="1:5" ht="14.45" x14ac:dyDescent="0.3">
      <c r="A29" s="1">
        <v>41710</v>
      </c>
      <c r="B29" s="34">
        <v>300</v>
      </c>
      <c r="C29" s="41">
        <v>322</v>
      </c>
      <c r="D29" s="41">
        <v>187</v>
      </c>
      <c r="E29" s="20">
        <f t="shared" si="1"/>
        <v>0.58074534161490687</v>
      </c>
    </row>
    <row r="30" spans="1:5" ht="14.45" x14ac:dyDescent="0.3">
      <c r="A30" s="1">
        <v>41741</v>
      </c>
      <c r="B30" s="34">
        <v>300</v>
      </c>
      <c r="C30" s="41">
        <v>369</v>
      </c>
      <c r="D30" s="41">
        <v>141</v>
      </c>
      <c r="E30" s="20">
        <f t="shared" si="1"/>
        <v>0.38211382113821141</v>
      </c>
    </row>
    <row r="31" spans="1:5" x14ac:dyDescent="0.25">
      <c r="A31" s="1">
        <v>41771</v>
      </c>
      <c r="B31" s="34">
        <v>300</v>
      </c>
      <c r="C31" s="41">
        <v>346</v>
      </c>
      <c r="D31" s="41">
        <v>89</v>
      </c>
      <c r="E31" s="20">
        <f t="shared" si="1"/>
        <v>0.25722543352601157</v>
      </c>
    </row>
    <row r="32" spans="1:5" x14ac:dyDescent="0.25">
      <c r="A32" s="1">
        <v>41802</v>
      </c>
      <c r="B32" s="34">
        <v>300</v>
      </c>
      <c r="C32" s="41">
        <v>248</v>
      </c>
      <c r="D32" s="41">
        <v>50</v>
      </c>
      <c r="E32" s="20">
        <f t="shared" si="1"/>
        <v>0.20161290322580644</v>
      </c>
    </row>
    <row r="33" spans="1:19" x14ac:dyDescent="0.25">
      <c r="A33" s="1">
        <v>41832</v>
      </c>
      <c r="B33" s="34">
        <v>300</v>
      </c>
      <c r="C33" s="41">
        <v>232</v>
      </c>
      <c r="D33" s="41">
        <v>104</v>
      </c>
      <c r="E33" s="20">
        <f t="shared" si="1"/>
        <v>0.44827586206896552</v>
      </c>
    </row>
    <row r="34" spans="1:19" x14ac:dyDescent="0.25">
      <c r="A34" s="1">
        <v>41863</v>
      </c>
      <c r="B34" s="34">
        <v>300</v>
      </c>
      <c r="C34" s="41">
        <v>333</v>
      </c>
      <c r="D34" s="41">
        <v>97</v>
      </c>
      <c r="E34" s="20">
        <f t="shared" si="1"/>
        <v>0.29129129129129128</v>
      </c>
    </row>
    <row r="35" spans="1:19" x14ac:dyDescent="0.25">
      <c r="C35" s="41"/>
      <c r="D35" s="41"/>
    </row>
    <row r="36" spans="1:19" ht="45.6" customHeight="1" x14ac:dyDescent="0.25">
      <c r="A36" s="10" t="s">
        <v>72</v>
      </c>
      <c r="B36" s="11" t="s">
        <v>6</v>
      </c>
      <c r="C36" s="89" t="s">
        <v>56</v>
      </c>
      <c r="D36" s="89" t="s">
        <v>57</v>
      </c>
      <c r="E36" s="11" t="s">
        <v>8</v>
      </c>
      <c r="F36" s="48" t="s">
        <v>56</v>
      </c>
      <c r="G36" s="48" t="s">
        <v>57</v>
      </c>
      <c r="H36" s="11" t="s">
        <v>9</v>
      </c>
      <c r="I36" s="48" t="s">
        <v>56</v>
      </c>
      <c r="J36" s="48" t="s">
        <v>57</v>
      </c>
      <c r="K36" s="11" t="s">
        <v>10</v>
      </c>
      <c r="L36" s="48" t="s">
        <v>56</v>
      </c>
      <c r="M36" s="48" t="s">
        <v>57</v>
      </c>
      <c r="N36" s="11" t="s">
        <v>11</v>
      </c>
      <c r="O36" s="48" t="s">
        <v>56</v>
      </c>
      <c r="P36" s="48" t="s">
        <v>57</v>
      </c>
      <c r="Q36" s="11" t="s">
        <v>12</v>
      </c>
      <c r="R36" s="48" t="s">
        <v>191</v>
      </c>
    </row>
    <row r="37" spans="1:19" x14ac:dyDescent="0.25">
      <c r="A37" s="13">
        <v>40817</v>
      </c>
      <c r="B37" s="8">
        <v>0.9</v>
      </c>
      <c r="C37" s="90" t="s">
        <v>59</v>
      </c>
      <c r="D37" s="90" t="s">
        <v>58</v>
      </c>
      <c r="E37" s="8">
        <f t="shared" ref="E37:E49" si="2">D37/C37</f>
        <v>0.82363977485928708</v>
      </c>
      <c r="F37" s="45"/>
      <c r="G37" s="45"/>
      <c r="H37" s="8">
        <v>0.79</v>
      </c>
      <c r="I37" s="45"/>
      <c r="J37" s="45"/>
      <c r="K37" s="8">
        <v>0.77</v>
      </c>
      <c r="L37" s="45"/>
      <c r="M37" s="45"/>
      <c r="N37" s="8">
        <v>0.87</v>
      </c>
      <c r="O37" s="47"/>
      <c r="P37" s="47"/>
      <c r="Q37" s="8">
        <v>0.76</v>
      </c>
    </row>
    <row r="38" spans="1:19" x14ac:dyDescent="0.25">
      <c r="A38" s="13">
        <v>40848</v>
      </c>
      <c r="B38" s="8">
        <v>0.9</v>
      </c>
      <c r="C38" s="90" t="s">
        <v>62</v>
      </c>
      <c r="D38" s="90" t="s">
        <v>60</v>
      </c>
      <c r="E38" s="8">
        <f t="shared" si="2"/>
        <v>0.92011834319526631</v>
      </c>
      <c r="F38" s="45"/>
      <c r="G38" s="45"/>
      <c r="H38" s="8">
        <v>0.77</v>
      </c>
      <c r="I38" s="45"/>
      <c r="J38" s="45"/>
      <c r="K38" s="8">
        <v>0.88</v>
      </c>
      <c r="L38" s="45"/>
      <c r="M38" s="45"/>
      <c r="N38" s="8">
        <v>0.95</v>
      </c>
      <c r="O38" s="47"/>
      <c r="P38" s="47"/>
      <c r="Q38" s="8">
        <v>0.94</v>
      </c>
    </row>
    <row r="39" spans="1:19" x14ac:dyDescent="0.25">
      <c r="A39" s="13">
        <v>40878</v>
      </c>
      <c r="B39" s="8">
        <v>0.9</v>
      </c>
      <c r="C39" s="90" t="s">
        <v>63</v>
      </c>
      <c r="D39" s="90" t="s">
        <v>61</v>
      </c>
      <c r="E39" s="8">
        <f t="shared" si="2"/>
        <v>0.87418086500655312</v>
      </c>
      <c r="F39" s="45"/>
      <c r="G39" s="45"/>
      <c r="H39" s="8">
        <v>0.94</v>
      </c>
      <c r="I39" s="45"/>
      <c r="J39" s="45"/>
      <c r="K39" s="8">
        <v>0.82</v>
      </c>
      <c r="L39" s="45"/>
      <c r="M39" s="45"/>
      <c r="N39" s="8">
        <v>0.91</v>
      </c>
      <c r="O39" s="47"/>
      <c r="P39" s="47"/>
      <c r="Q39" s="8">
        <v>0.87</v>
      </c>
    </row>
    <row r="40" spans="1:19" x14ac:dyDescent="0.25">
      <c r="A40" s="13">
        <v>40909</v>
      </c>
      <c r="B40" s="8">
        <v>0.9</v>
      </c>
      <c r="C40" s="90" t="s">
        <v>65</v>
      </c>
      <c r="D40" s="90" t="s">
        <v>64</v>
      </c>
      <c r="E40" s="8">
        <f t="shared" si="2"/>
        <v>0.74938271604938267</v>
      </c>
      <c r="F40" s="45"/>
      <c r="G40" s="45"/>
      <c r="H40" s="8">
        <v>0.92</v>
      </c>
      <c r="I40" s="45"/>
      <c r="J40" s="45"/>
      <c r="K40" s="8">
        <v>0.82</v>
      </c>
      <c r="L40" s="45"/>
      <c r="M40" s="45"/>
      <c r="N40" s="8">
        <v>0.73</v>
      </c>
      <c r="O40" s="47"/>
      <c r="P40" s="47"/>
      <c r="Q40" s="8">
        <v>0.7</v>
      </c>
    </row>
    <row r="41" spans="1:19" x14ac:dyDescent="0.25">
      <c r="A41" s="13">
        <v>40940</v>
      </c>
      <c r="B41" s="8">
        <v>0.9</v>
      </c>
      <c r="C41" s="90" t="s">
        <v>67</v>
      </c>
      <c r="D41" s="90" t="s">
        <v>66</v>
      </c>
      <c r="E41" s="8">
        <f t="shared" si="2"/>
        <v>0.94499294781382226</v>
      </c>
      <c r="F41" s="45"/>
      <c r="G41" s="45"/>
      <c r="H41" s="8">
        <v>0.96</v>
      </c>
      <c r="I41" s="45"/>
      <c r="J41" s="45"/>
      <c r="K41" s="8">
        <v>0.92</v>
      </c>
      <c r="L41" s="45"/>
      <c r="M41" s="45"/>
      <c r="N41" s="8">
        <v>0.97</v>
      </c>
      <c r="O41" s="47"/>
      <c r="P41" s="47"/>
      <c r="Q41" s="8">
        <v>0.92</v>
      </c>
    </row>
    <row r="42" spans="1:19" x14ac:dyDescent="0.25">
      <c r="A42" s="13">
        <v>40969</v>
      </c>
      <c r="B42" s="8">
        <v>0.9</v>
      </c>
      <c r="C42" s="90" t="s">
        <v>69</v>
      </c>
      <c r="D42" s="90" t="s">
        <v>68</v>
      </c>
      <c r="E42" s="8">
        <f t="shared" si="2"/>
        <v>0.97072072072072069</v>
      </c>
      <c r="F42" s="45" t="s">
        <v>73</v>
      </c>
      <c r="G42" s="45" t="s">
        <v>73</v>
      </c>
      <c r="H42" s="8">
        <f t="shared" ref="H42:H53" si="3">G42/F42</f>
        <v>1</v>
      </c>
      <c r="I42" s="45" t="s">
        <v>79</v>
      </c>
      <c r="J42" s="45" t="s">
        <v>76</v>
      </c>
      <c r="K42" s="8">
        <f t="shared" ref="K42:K53" si="4">J42/I42</f>
        <v>0.96575342465753422</v>
      </c>
      <c r="L42" s="45" t="s">
        <v>82</v>
      </c>
      <c r="M42" s="45" t="s">
        <v>80</v>
      </c>
      <c r="N42" s="8">
        <f t="shared" ref="N42:N53" si="5">M42/L42</f>
        <v>0.98364485981308414</v>
      </c>
      <c r="O42" s="50" t="s">
        <v>87</v>
      </c>
      <c r="P42" s="50" t="s">
        <v>84</v>
      </c>
      <c r="Q42" s="8">
        <f t="shared" ref="Q42:Q53" si="6">P42/O42</f>
        <v>0.93661971830985913</v>
      </c>
    </row>
    <row r="43" spans="1:19" x14ac:dyDescent="0.25">
      <c r="A43" s="13">
        <v>41000</v>
      </c>
      <c r="B43" s="8">
        <v>0.9</v>
      </c>
      <c r="C43" s="90" t="s">
        <v>71</v>
      </c>
      <c r="D43" s="90" t="s">
        <v>70</v>
      </c>
      <c r="E43" s="8">
        <f t="shared" si="2"/>
        <v>0.81805157593123212</v>
      </c>
      <c r="F43" s="45" t="s">
        <v>75</v>
      </c>
      <c r="G43" s="45" t="s">
        <v>74</v>
      </c>
      <c r="H43" s="8">
        <f t="shared" si="3"/>
        <v>0.7857142857142857</v>
      </c>
      <c r="I43" s="45" t="s">
        <v>78</v>
      </c>
      <c r="J43" s="45" t="s">
        <v>77</v>
      </c>
      <c r="K43" s="8">
        <f t="shared" si="4"/>
        <v>0.81818181818181823</v>
      </c>
      <c r="L43" s="45" t="s">
        <v>83</v>
      </c>
      <c r="M43" s="45" t="s">
        <v>81</v>
      </c>
      <c r="N43" s="8">
        <f t="shared" si="5"/>
        <v>0.81144781144781142</v>
      </c>
      <c r="O43" s="50" t="s">
        <v>86</v>
      </c>
      <c r="P43" s="50" t="s">
        <v>85</v>
      </c>
      <c r="Q43" s="8">
        <f t="shared" si="6"/>
        <v>0.8314606741573034</v>
      </c>
    </row>
    <row r="44" spans="1:19" x14ac:dyDescent="0.25">
      <c r="A44" s="13">
        <v>41030</v>
      </c>
      <c r="B44" s="8">
        <v>0.9</v>
      </c>
      <c r="C44" s="90">
        <v>678</v>
      </c>
      <c r="D44" s="90">
        <v>638</v>
      </c>
      <c r="E44" s="8">
        <f t="shared" si="2"/>
        <v>0.94100294985250732</v>
      </c>
      <c r="F44" s="54">
        <v>11</v>
      </c>
      <c r="G44" s="54">
        <v>10</v>
      </c>
      <c r="H44" s="8">
        <f t="shared" si="3"/>
        <v>0.90909090909090906</v>
      </c>
      <c r="I44" s="54">
        <v>180</v>
      </c>
      <c r="J44" s="54">
        <v>167</v>
      </c>
      <c r="K44" s="8">
        <f t="shared" si="4"/>
        <v>0.92777777777777781</v>
      </c>
      <c r="L44" s="54">
        <v>343</v>
      </c>
      <c r="M44" s="54">
        <v>331</v>
      </c>
      <c r="N44" s="8">
        <f t="shared" si="5"/>
        <v>0.96501457725947526</v>
      </c>
      <c r="O44" s="55">
        <v>144</v>
      </c>
      <c r="P44" s="55">
        <v>131</v>
      </c>
      <c r="Q44" s="8">
        <f t="shared" si="6"/>
        <v>0.90972222222222221</v>
      </c>
    </row>
    <row r="45" spans="1:19" x14ac:dyDescent="0.25">
      <c r="A45" s="13">
        <v>41061</v>
      </c>
      <c r="B45" s="8">
        <v>0.9</v>
      </c>
      <c r="C45" s="90" t="s">
        <v>196</v>
      </c>
      <c r="D45" s="90" t="s">
        <v>195</v>
      </c>
      <c r="E45" s="8">
        <f t="shared" si="2"/>
        <v>0.95604395604395609</v>
      </c>
      <c r="F45" s="54" t="s">
        <v>197</v>
      </c>
      <c r="G45" s="54" t="s">
        <v>176</v>
      </c>
      <c r="H45" s="8">
        <f t="shared" si="3"/>
        <v>0.9375</v>
      </c>
      <c r="I45" s="45" t="s">
        <v>198</v>
      </c>
      <c r="J45" s="45" t="s">
        <v>199</v>
      </c>
      <c r="K45" s="8">
        <f t="shared" si="4"/>
        <v>0.92655367231638419</v>
      </c>
      <c r="L45" s="45" t="s">
        <v>200</v>
      </c>
      <c r="M45" s="45" t="s">
        <v>201</v>
      </c>
      <c r="N45" s="8">
        <f t="shared" si="5"/>
        <v>0.97338403041825095</v>
      </c>
      <c r="O45" s="50" t="s">
        <v>203</v>
      </c>
      <c r="P45" s="50" t="s">
        <v>202</v>
      </c>
      <c r="Q45" s="8">
        <f t="shared" si="6"/>
        <v>0.96666666666666667</v>
      </c>
      <c r="R45" s="29">
        <v>16</v>
      </c>
      <c r="S45" s="91"/>
    </row>
    <row r="46" spans="1:19" x14ac:dyDescent="0.25">
      <c r="A46" s="13">
        <v>41091</v>
      </c>
      <c r="B46" s="8">
        <v>0.9</v>
      </c>
      <c r="C46" s="90">
        <f>F46+I46+L46+O46</f>
        <v>722</v>
      </c>
      <c r="D46" s="90">
        <f>G46+J46+M46+P46</f>
        <v>482</v>
      </c>
      <c r="E46" s="8">
        <f t="shared" si="2"/>
        <v>0.66759002770083098</v>
      </c>
      <c r="F46" s="54" t="s">
        <v>204</v>
      </c>
      <c r="G46" s="54" t="s">
        <v>197</v>
      </c>
      <c r="H46" s="8">
        <f t="shared" si="3"/>
        <v>0.69565217391304346</v>
      </c>
      <c r="I46" s="45" t="s">
        <v>205</v>
      </c>
      <c r="J46" s="45" t="s">
        <v>206</v>
      </c>
      <c r="K46" s="8">
        <f t="shared" si="4"/>
        <v>0.63389830508474576</v>
      </c>
      <c r="L46" s="45" t="s">
        <v>207</v>
      </c>
      <c r="M46" s="45" t="s">
        <v>208</v>
      </c>
      <c r="N46" s="8">
        <f t="shared" si="5"/>
        <v>0.79487179487179482</v>
      </c>
      <c r="O46" s="50" t="s">
        <v>209</v>
      </c>
      <c r="P46" s="50" t="s">
        <v>210</v>
      </c>
      <c r="Q46" s="8">
        <f t="shared" si="6"/>
        <v>0.33695652173913043</v>
      </c>
      <c r="R46" s="29">
        <v>61</v>
      </c>
      <c r="S46" s="91"/>
    </row>
    <row r="47" spans="1:19" x14ac:dyDescent="0.25">
      <c r="A47" s="13">
        <v>41122</v>
      </c>
      <c r="B47" s="8">
        <v>0.9</v>
      </c>
      <c r="C47" s="90">
        <v>537</v>
      </c>
      <c r="D47" s="90">
        <v>491</v>
      </c>
      <c r="E47" s="8">
        <f t="shared" si="2"/>
        <v>0.91433891992551208</v>
      </c>
      <c r="F47" s="45" t="s">
        <v>197</v>
      </c>
      <c r="G47" s="45" t="s">
        <v>75</v>
      </c>
      <c r="H47" s="8">
        <f t="shared" si="3"/>
        <v>0.875</v>
      </c>
      <c r="I47" s="45" t="s">
        <v>234</v>
      </c>
      <c r="J47" s="45" t="s">
        <v>235</v>
      </c>
      <c r="K47" s="8">
        <f t="shared" si="4"/>
        <v>0.91847826086956519</v>
      </c>
      <c r="L47" s="45" t="s">
        <v>236</v>
      </c>
      <c r="M47" s="45" t="s">
        <v>237</v>
      </c>
      <c r="N47" s="8">
        <f t="shared" si="5"/>
        <v>0.9263565891472868</v>
      </c>
      <c r="O47" s="50" t="s">
        <v>238</v>
      </c>
      <c r="P47" s="50" t="s">
        <v>239</v>
      </c>
      <c r="Q47" s="8">
        <f t="shared" si="6"/>
        <v>0.87341772151898733</v>
      </c>
      <c r="R47" s="29">
        <v>12</v>
      </c>
    </row>
    <row r="48" spans="1:19" x14ac:dyDescent="0.25">
      <c r="A48" s="13">
        <v>41153</v>
      </c>
      <c r="B48" s="8">
        <v>0.9</v>
      </c>
      <c r="C48" s="46" t="s">
        <v>266</v>
      </c>
      <c r="D48" s="46" t="s">
        <v>265</v>
      </c>
      <c r="E48" s="8">
        <f t="shared" si="2"/>
        <v>0.93304221251819508</v>
      </c>
      <c r="F48" s="46" t="s">
        <v>175</v>
      </c>
      <c r="G48" s="46" t="s">
        <v>175</v>
      </c>
      <c r="H48" s="8">
        <f t="shared" si="3"/>
        <v>1</v>
      </c>
      <c r="I48" s="46" t="s">
        <v>267</v>
      </c>
      <c r="J48" s="46" t="s">
        <v>211</v>
      </c>
      <c r="K48" s="8">
        <f t="shared" si="4"/>
        <v>0.83425414364640882</v>
      </c>
      <c r="L48" s="46" t="s">
        <v>268</v>
      </c>
      <c r="M48" s="46" t="s">
        <v>269</v>
      </c>
      <c r="N48" s="8">
        <f t="shared" si="5"/>
        <v>0.96656534954407292</v>
      </c>
      <c r="O48" s="50" t="s">
        <v>144</v>
      </c>
      <c r="P48" s="50" t="s">
        <v>270</v>
      </c>
      <c r="Q48" s="8">
        <f t="shared" si="6"/>
        <v>0.96969696969696972</v>
      </c>
      <c r="R48" s="29">
        <v>14</v>
      </c>
    </row>
    <row r="49" spans="1:18" x14ac:dyDescent="0.25">
      <c r="A49" s="13">
        <v>41183</v>
      </c>
      <c r="B49" s="8">
        <v>0.9</v>
      </c>
      <c r="C49" s="46" t="s">
        <v>284</v>
      </c>
      <c r="D49" s="46" t="s">
        <v>283</v>
      </c>
      <c r="E49" s="8">
        <f t="shared" si="2"/>
        <v>0.96423248882265278</v>
      </c>
      <c r="F49" s="46" t="s">
        <v>75</v>
      </c>
      <c r="G49" s="46" t="s">
        <v>285</v>
      </c>
      <c r="H49" s="8">
        <f t="shared" si="3"/>
        <v>0.9285714285714286</v>
      </c>
      <c r="I49" s="46" t="s">
        <v>286</v>
      </c>
      <c r="J49" s="46" t="s">
        <v>287</v>
      </c>
      <c r="K49" s="8">
        <f t="shared" si="4"/>
        <v>0.93665158371040724</v>
      </c>
      <c r="L49" s="46" t="s">
        <v>288</v>
      </c>
      <c r="M49" s="46" t="s">
        <v>289</v>
      </c>
      <c r="N49" s="8">
        <f t="shared" si="5"/>
        <v>0.98820058997050142</v>
      </c>
      <c r="O49" s="50" t="s">
        <v>290</v>
      </c>
      <c r="P49" s="50" t="s">
        <v>291</v>
      </c>
      <c r="Q49" s="8">
        <f t="shared" si="6"/>
        <v>0.96907216494845361</v>
      </c>
      <c r="R49" s="29">
        <v>4</v>
      </c>
    </row>
    <row r="50" spans="1:18" x14ac:dyDescent="0.25">
      <c r="A50" s="13">
        <v>41214</v>
      </c>
      <c r="B50" s="8">
        <v>0.9</v>
      </c>
      <c r="C50" s="46" t="s">
        <v>310</v>
      </c>
      <c r="D50" s="46" t="s">
        <v>309</v>
      </c>
      <c r="E50" s="8">
        <f t="shared" ref="E50:E53" si="7">D50/C50</f>
        <v>0.94728682170542633</v>
      </c>
      <c r="F50" s="46" t="s">
        <v>247</v>
      </c>
      <c r="G50" s="46" t="s">
        <v>212</v>
      </c>
      <c r="H50" s="8">
        <f t="shared" si="3"/>
        <v>0.91666666666666663</v>
      </c>
      <c r="I50" s="46" t="s">
        <v>135</v>
      </c>
      <c r="J50" s="46" t="s">
        <v>258</v>
      </c>
      <c r="K50" s="8">
        <f t="shared" si="4"/>
        <v>0.88372093023255816</v>
      </c>
      <c r="L50" s="46" t="s">
        <v>277</v>
      </c>
      <c r="M50" s="46" t="s">
        <v>311</v>
      </c>
      <c r="N50" s="8">
        <f t="shared" si="5"/>
        <v>0.97878787878787876</v>
      </c>
      <c r="O50" s="50" t="s">
        <v>312</v>
      </c>
      <c r="P50" s="50" t="s">
        <v>131</v>
      </c>
      <c r="Q50" s="8">
        <f t="shared" si="6"/>
        <v>0.89915966386554624</v>
      </c>
      <c r="R50" s="29">
        <v>7</v>
      </c>
    </row>
    <row r="51" spans="1:18" x14ac:dyDescent="0.25">
      <c r="A51" s="13">
        <v>41244</v>
      </c>
      <c r="B51" s="8">
        <v>0.9</v>
      </c>
      <c r="C51" s="145">
        <v>435</v>
      </c>
      <c r="D51" s="145">
        <v>399</v>
      </c>
      <c r="E51" s="8">
        <f t="shared" si="7"/>
        <v>0.91724137931034477</v>
      </c>
      <c r="F51" s="145">
        <v>10</v>
      </c>
      <c r="G51" s="145">
        <v>8</v>
      </c>
      <c r="H51" s="8">
        <f t="shared" si="3"/>
        <v>0.8</v>
      </c>
      <c r="I51" s="145">
        <v>177</v>
      </c>
      <c r="J51" s="145">
        <v>160</v>
      </c>
      <c r="K51" s="8">
        <f t="shared" si="4"/>
        <v>0.903954802259887</v>
      </c>
      <c r="L51" s="145">
        <v>167</v>
      </c>
      <c r="M51" s="145">
        <v>158</v>
      </c>
      <c r="N51" s="8">
        <f t="shared" si="5"/>
        <v>0.94610778443113774</v>
      </c>
      <c r="O51" s="55">
        <v>81</v>
      </c>
      <c r="P51" s="55">
        <v>73</v>
      </c>
      <c r="Q51" s="8">
        <f t="shared" si="6"/>
        <v>0.90123456790123457</v>
      </c>
      <c r="R51" s="29">
        <v>4</v>
      </c>
    </row>
    <row r="52" spans="1:18" x14ac:dyDescent="0.25">
      <c r="A52" s="13">
        <v>41275</v>
      </c>
      <c r="B52" s="8">
        <v>0.9</v>
      </c>
      <c r="C52" s="145">
        <v>676</v>
      </c>
      <c r="D52" s="145">
        <v>630</v>
      </c>
      <c r="E52" s="8">
        <f t="shared" si="7"/>
        <v>0.93195266272189348</v>
      </c>
      <c r="F52" s="145">
        <v>16</v>
      </c>
      <c r="G52" s="145">
        <v>14</v>
      </c>
      <c r="H52" s="8">
        <f t="shared" si="3"/>
        <v>0.875</v>
      </c>
      <c r="I52" s="145">
        <v>163</v>
      </c>
      <c r="J52" s="145">
        <v>152</v>
      </c>
      <c r="K52" s="8">
        <f t="shared" si="4"/>
        <v>0.93251533742331283</v>
      </c>
      <c r="L52" s="145">
        <v>355</v>
      </c>
      <c r="M52" s="145">
        <v>342</v>
      </c>
      <c r="N52" s="8">
        <f t="shared" si="5"/>
        <v>0.96338028169014089</v>
      </c>
      <c r="O52" s="55">
        <v>142</v>
      </c>
      <c r="P52" s="55">
        <v>122</v>
      </c>
      <c r="Q52" s="8">
        <f t="shared" si="6"/>
        <v>0.85915492957746475</v>
      </c>
      <c r="R52" s="29">
        <v>2</v>
      </c>
    </row>
    <row r="53" spans="1:18" x14ac:dyDescent="0.25">
      <c r="A53" s="13">
        <v>41306</v>
      </c>
      <c r="B53" s="8">
        <v>0.9</v>
      </c>
      <c r="C53" s="46" t="s">
        <v>373</v>
      </c>
      <c r="D53" s="46" t="s">
        <v>374</v>
      </c>
      <c r="E53" s="8">
        <f t="shared" si="7"/>
        <v>0.93029490616621979</v>
      </c>
      <c r="F53" s="46" t="s">
        <v>90</v>
      </c>
      <c r="G53" s="46" t="s">
        <v>90</v>
      </c>
      <c r="H53" s="8">
        <f t="shared" si="3"/>
        <v>1</v>
      </c>
      <c r="I53" s="46" t="s">
        <v>142</v>
      </c>
      <c r="J53" s="46" t="s">
        <v>291</v>
      </c>
      <c r="K53" s="8">
        <f t="shared" si="4"/>
        <v>0.9494949494949495</v>
      </c>
      <c r="L53" s="46" t="s">
        <v>281</v>
      </c>
      <c r="M53" s="46" t="s">
        <v>375</v>
      </c>
      <c r="N53" s="8">
        <f t="shared" si="5"/>
        <v>0.9337349397590361</v>
      </c>
      <c r="O53" s="50" t="s">
        <v>108</v>
      </c>
      <c r="P53" s="50" t="s">
        <v>376</v>
      </c>
      <c r="Q53" s="8">
        <f t="shared" si="6"/>
        <v>0.90291262135922334</v>
      </c>
      <c r="R53" s="29">
        <v>1</v>
      </c>
    </row>
    <row r="54" spans="1:18" x14ac:dyDescent="0.25">
      <c r="A54" s="13">
        <v>41334</v>
      </c>
      <c r="B54" s="8">
        <v>0.9</v>
      </c>
      <c r="C54" s="46" t="s">
        <v>392</v>
      </c>
      <c r="D54" s="46" t="s">
        <v>391</v>
      </c>
      <c r="E54" s="8">
        <f t="shared" ref="E54:E71" si="8">D54/C54</f>
        <v>0.87759336099585061</v>
      </c>
      <c r="F54" s="46" t="s">
        <v>173</v>
      </c>
      <c r="G54" s="46" t="s">
        <v>173</v>
      </c>
      <c r="H54" s="8">
        <f t="shared" ref="H54:H71" si="9">G54/F54</f>
        <v>1</v>
      </c>
      <c r="I54" s="46" t="s">
        <v>145</v>
      </c>
      <c r="J54" s="46" t="s">
        <v>393</v>
      </c>
      <c r="K54" s="8">
        <f t="shared" ref="K54:K71" si="10">J54/I54</f>
        <v>0.9178082191780822</v>
      </c>
      <c r="L54" s="46" t="s">
        <v>394</v>
      </c>
      <c r="M54" s="46" t="s">
        <v>395</v>
      </c>
      <c r="N54" s="8">
        <f t="shared" ref="N54:N71" si="11">M54/L54</f>
        <v>0.88979591836734695</v>
      </c>
      <c r="O54" s="50" t="s">
        <v>250</v>
      </c>
      <c r="P54" s="50" t="s">
        <v>396</v>
      </c>
      <c r="Q54" s="8">
        <f t="shared" ref="Q54:Q71" si="12">P54/O54</f>
        <v>0.76470588235294112</v>
      </c>
      <c r="R54" s="29">
        <v>22</v>
      </c>
    </row>
    <row r="55" spans="1:18" x14ac:dyDescent="0.25">
      <c r="A55" s="13">
        <v>41365</v>
      </c>
      <c r="B55" s="8">
        <v>0.9</v>
      </c>
      <c r="C55" s="46" t="s">
        <v>409</v>
      </c>
      <c r="D55" s="46" t="s">
        <v>410</v>
      </c>
      <c r="E55" s="8">
        <f t="shared" si="8"/>
        <v>0.87668161434977576</v>
      </c>
      <c r="F55" s="46" t="s">
        <v>74</v>
      </c>
      <c r="G55" s="46" t="s">
        <v>88</v>
      </c>
      <c r="H55" s="8">
        <f t="shared" si="9"/>
        <v>0.90909090909090906</v>
      </c>
      <c r="I55" s="46" t="s">
        <v>312</v>
      </c>
      <c r="J55" s="46" t="s">
        <v>342</v>
      </c>
      <c r="K55" s="8">
        <f t="shared" si="10"/>
        <v>0.87394957983193278</v>
      </c>
      <c r="L55" s="46" t="s">
        <v>379</v>
      </c>
      <c r="M55" s="46" t="s">
        <v>255</v>
      </c>
      <c r="N55" s="8">
        <f t="shared" si="11"/>
        <v>0.94708994708994709</v>
      </c>
      <c r="O55" s="50" t="s">
        <v>411</v>
      </c>
      <c r="P55" s="50" t="s">
        <v>93</v>
      </c>
      <c r="Q55" s="8">
        <f t="shared" si="12"/>
        <v>0.77165354330708658</v>
      </c>
      <c r="R55" s="29">
        <v>9</v>
      </c>
    </row>
    <row r="56" spans="1:18" x14ac:dyDescent="0.25">
      <c r="A56" s="13">
        <v>41395</v>
      </c>
      <c r="B56" s="8">
        <v>0.9</v>
      </c>
      <c r="C56" s="46" t="s">
        <v>419</v>
      </c>
      <c r="D56" s="46" t="s">
        <v>420</v>
      </c>
      <c r="E56" s="8">
        <f t="shared" si="8"/>
        <v>0.93052631578947365</v>
      </c>
      <c r="F56" s="46" t="s">
        <v>253</v>
      </c>
      <c r="G56" s="46" t="s">
        <v>253</v>
      </c>
      <c r="H56" s="8">
        <f t="shared" si="9"/>
        <v>1</v>
      </c>
      <c r="I56" s="46" t="s">
        <v>421</v>
      </c>
      <c r="J56" s="46" t="s">
        <v>422</v>
      </c>
      <c r="K56" s="8">
        <f t="shared" si="10"/>
        <v>0.85263157894736841</v>
      </c>
      <c r="L56" s="46" t="s">
        <v>423</v>
      </c>
      <c r="M56" s="46" t="s">
        <v>251</v>
      </c>
      <c r="N56" s="8">
        <f t="shared" si="11"/>
        <v>0.96280991735537191</v>
      </c>
      <c r="O56" s="50" t="s">
        <v>424</v>
      </c>
      <c r="P56" s="50" t="s">
        <v>312</v>
      </c>
      <c r="Q56" s="8">
        <f t="shared" si="12"/>
        <v>0.92248062015503873</v>
      </c>
      <c r="R56" s="29">
        <v>1</v>
      </c>
    </row>
    <row r="57" spans="1:18" x14ac:dyDescent="0.25">
      <c r="A57" s="13">
        <v>41426</v>
      </c>
      <c r="B57" s="8">
        <v>0.9</v>
      </c>
      <c r="C57" s="46" t="s">
        <v>433</v>
      </c>
      <c r="D57" s="46" t="s">
        <v>434</v>
      </c>
      <c r="E57" s="8">
        <f t="shared" si="8"/>
        <v>0.89181286549707606</v>
      </c>
      <c r="F57" s="46" t="s">
        <v>256</v>
      </c>
      <c r="G57" s="46" t="s">
        <v>340</v>
      </c>
      <c r="H57" s="8">
        <f t="shared" si="9"/>
        <v>0.95238095238095233</v>
      </c>
      <c r="I57" s="46" t="s">
        <v>435</v>
      </c>
      <c r="J57" s="46" t="s">
        <v>436</v>
      </c>
      <c r="K57" s="8">
        <f t="shared" si="10"/>
        <v>0.84375</v>
      </c>
      <c r="L57" s="46" t="s">
        <v>85</v>
      </c>
      <c r="M57" s="46" t="s">
        <v>437</v>
      </c>
      <c r="N57" s="8">
        <f t="shared" si="11"/>
        <v>0.94594594594594594</v>
      </c>
      <c r="O57" s="50" t="s">
        <v>438</v>
      </c>
      <c r="P57" s="50" t="s">
        <v>139</v>
      </c>
      <c r="Q57" s="8">
        <f t="shared" si="12"/>
        <v>0.83486238532110091</v>
      </c>
      <c r="R57" s="29">
        <v>1</v>
      </c>
    </row>
    <row r="58" spans="1:18" x14ac:dyDescent="0.25">
      <c r="A58" s="13">
        <v>41456</v>
      </c>
      <c r="B58" s="8">
        <v>0.9</v>
      </c>
      <c r="C58" s="29">
        <v>559</v>
      </c>
      <c r="D58" s="29">
        <v>467</v>
      </c>
      <c r="E58" s="8">
        <f t="shared" si="8"/>
        <v>0.83542039355992848</v>
      </c>
      <c r="F58" s="29">
        <v>12</v>
      </c>
      <c r="G58" s="29">
        <v>11</v>
      </c>
      <c r="H58" s="8">
        <f t="shared" si="9"/>
        <v>0.91666666666666663</v>
      </c>
      <c r="I58" s="29">
        <v>150</v>
      </c>
      <c r="J58" s="29">
        <v>129</v>
      </c>
      <c r="K58" s="8">
        <f t="shared" si="10"/>
        <v>0.86</v>
      </c>
      <c r="L58" s="29">
        <v>250</v>
      </c>
      <c r="M58" s="29">
        <v>232</v>
      </c>
      <c r="N58" s="8">
        <f t="shared" si="11"/>
        <v>0.92800000000000005</v>
      </c>
      <c r="O58" s="29">
        <v>147</v>
      </c>
      <c r="P58" s="29">
        <v>95</v>
      </c>
      <c r="Q58" s="8">
        <f t="shared" si="12"/>
        <v>0.6462585034013606</v>
      </c>
      <c r="R58" s="29">
        <v>4</v>
      </c>
    </row>
    <row r="59" spans="1:18" x14ac:dyDescent="0.25">
      <c r="A59" s="13">
        <v>41487</v>
      </c>
      <c r="B59" s="8">
        <v>0.9</v>
      </c>
      <c r="C59" s="29">
        <v>307</v>
      </c>
      <c r="D59" s="29">
        <v>286</v>
      </c>
      <c r="E59" s="8">
        <f t="shared" si="8"/>
        <v>0.9315960912052117</v>
      </c>
      <c r="F59" s="29">
        <v>20</v>
      </c>
      <c r="G59" s="29">
        <v>20</v>
      </c>
      <c r="H59" s="8">
        <f t="shared" si="9"/>
        <v>1</v>
      </c>
      <c r="I59" s="29">
        <v>84</v>
      </c>
      <c r="J59" s="29">
        <v>76</v>
      </c>
      <c r="K59" s="8">
        <f t="shared" si="10"/>
        <v>0.90476190476190477</v>
      </c>
      <c r="L59" s="29">
        <v>135</v>
      </c>
      <c r="M59" s="29">
        <v>127</v>
      </c>
      <c r="N59" s="8">
        <f t="shared" si="11"/>
        <v>0.94074074074074077</v>
      </c>
      <c r="O59" s="29">
        <v>68</v>
      </c>
      <c r="P59" s="29">
        <v>63</v>
      </c>
      <c r="Q59" s="8">
        <f t="shared" si="12"/>
        <v>0.92647058823529416</v>
      </c>
      <c r="R59" s="29">
        <v>2</v>
      </c>
    </row>
    <row r="60" spans="1:18" x14ac:dyDescent="0.25">
      <c r="A60" s="13">
        <v>41518</v>
      </c>
      <c r="B60" s="8">
        <v>0.9</v>
      </c>
      <c r="C60" s="29">
        <v>404</v>
      </c>
      <c r="D60" s="29">
        <v>350</v>
      </c>
      <c r="E60" s="8">
        <f t="shared" si="8"/>
        <v>0.86633663366336633</v>
      </c>
      <c r="F60" s="29">
        <v>18</v>
      </c>
      <c r="G60" s="29">
        <v>16</v>
      </c>
      <c r="H60" s="8">
        <f t="shared" si="9"/>
        <v>0.88888888888888884</v>
      </c>
      <c r="I60" s="29">
        <v>114</v>
      </c>
      <c r="J60" s="29">
        <v>92</v>
      </c>
      <c r="K60" s="8">
        <f t="shared" si="10"/>
        <v>0.80701754385964908</v>
      </c>
      <c r="L60" s="29">
        <v>170</v>
      </c>
      <c r="M60" s="29">
        <v>157</v>
      </c>
      <c r="N60" s="8">
        <f t="shared" si="11"/>
        <v>0.92352941176470593</v>
      </c>
      <c r="O60" s="29">
        <v>102</v>
      </c>
      <c r="P60" s="29">
        <v>85</v>
      </c>
      <c r="Q60" s="8">
        <f t="shared" si="12"/>
        <v>0.83333333333333337</v>
      </c>
      <c r="R60" s="29">
        <v>1</v>
      </c>
    </row>
    <row r="61" spans="1:18" x14ac:dyDescent="0.25">
      <c r="A61" s="13">
        <v>41548</v>
      </c>
      <c r="B61" s="8">
        <v>0.9</v>
      </c>
      <c r="C61" s="29">
        <v>440</v>
      </c>
      <c r="D61" s="29">
        <v>419</v>
      </c>
      <c r="E61" s="8">
        <f t="shared" si="8"/>
        <v>0.95227272727272727</v>
      </c>
      <c r="F61" s="29">
        <v>23</v>
      </c>
      <c r="G61" s="29">
        <v>22</v>
      </c>
      <c r="H61" s="8">
        <f t="shared" si="9"/>
        <v>0.95652173913043481</v>
      </c>
      <c r="I61" s="29">
        <v>116</v>
      </c>
      <c r="J61" s="29">
        <v>106</v>
      </c>
      <c r="K61" s="8">
        <f t="shared" si="10"/>
        <v>0.91379310344827591</v>
      </c>
      <c r="L61" s="29">
        <v>197</v>
      </c>
      <c r="M61" s="29">
        <v>193</v>
      </c>
      <c r="N61" s="8">
        <f t="shared" si="11"/>
        <v>0.97969543147208127</v>
      </c>
      <c r="O61" s="29">
        <v>104</v>
      </c>
      <c r="P61" s="29">
        <v>98</v>
      </c>
      <c r="Q61" s="8">
        <f t="shared" si="12"/>
        <v>0.94230769230769229</v>
      </c>
      <c r="R61" s="29">
        <v>1</v>
      </c>
    </row>
    <row r="62" spans="1:18" x14ac:dyDescent="0.25">
      <c r="A62" s="13">
        <v>41579</v>
      </c>
      <c r="B62" s="8">
        <v>0.9</v>
      </c>
      <c r="C62" s="29">
        <v>575</v>
      </c>
      <c r="D62" s="29">
        <v>537</v>
      </c>
      <c r="E62" s="8">
        <f t="shared" si="8"/>
        <v>0.93391304347826087</v>
      </c>
      <c r="F62" s="29">
        <v>27</v>
      </c>
      <c r="G62" s="29">
        <v>25</v>
      </c>
      <c r="H62" s="8">
        <f t="shared" si="9"/>
        <v>0.92592592592592593</v>
      </c>
      <c r="I62" s="29">
        <v>163</v>
      </c>
      <c r="J62" s="29">
        <v>143</v>
      </c>
      <c r="K62" s="8">
        <f t="shared" si="10"/>
        <v>0.87730061349693256</v>
      </c>
      <c r="L62" s="29">
        <v>260</v>
      </c>
      <c r="M62" s="29">
        <v>249</v>
      </c>
      <c r="N62" s="8">
        <f t="shared" si="11"/>
        <v>0.95769230769230773</v>
      </c>
      <c r="O62" s="29">
        <v>125</v>
      </c>
      <c r="P62" s="29">
        <v>119</v>
      </c>
      <c r="Q62" s="8">
        <f t="shared" si="12"/>
        <v>0.95199999999999996</v>
      </c>
      <c r="R62" s="29">
        <v>1</v>
      </c>
    </row>
    <row r="63" spans="1:18" x14ac:dyDescent="0.25">
      <c r="A63" s="13">
        <v>41609</v>
      </c>
      <c r="B63" s="8">
        <v>0.9</v>
      </c>
      <c r="C63" s="29">
        <v>524</v>
      </c>
      <c r="D63" s="29">
        <v>411</v>
      </c>
      <c r="E63" s="8">
        <f t="shared" si="8"/>
        <v>0.78435114503816794</v>
      </c>
      <c r="F63" s="29">
        <v>37</v>
      </c>
      <c r="G63" s="29">
        <v>34</v>
      </c>
      <c r="H63" s="8">
        <f t="shared" si="9"/>
        <v>0.91891891891891897</v>
      </c>
      <c r="I63" s="29">
        <v>117</v>
      </c>
      <c r="J63" s="29">
        <v>90</v>
      </c>
      <c r="K63" s="8">
        <f t="shared" si="10"/>
        <v>0.76923076923076927</v>
      </c>
      <c r="L63" s="29">
        <v>229</v>
      </c>
      <c r="M63" s="29">
        <v>186</v>
      </c>
      <c r="N63" s="8">
        <f t="shared" si="11"/>
        <v>0.81222707423580787</v>
      </c>
      <c r="O63" s="29">
        <v>141</v>
      </c>
      <c r="P63" s="29">
        <v>101</v>
      </c>
      <c r="Q63" s="8">
        <f t="shared" si="12"/>
        <v>0.71631205673758869</v>
      </c>
      <c r="R63" s="29">
        <v>6</v>
      </c>
    </row>
    <row r="64" spans="1:18" x14ac:dyDescent="0.25">
      <c r="A64" s="13">
        <v>41640</v>
      </c>
      <c r="B64" s="8">
        <v>0.9</v>
      </c>
      <c r="C64" s="29">
        <v>728</v>
      </c>
      <c r="D64" s="29">
        <v>677</v>
      </c>
      <c r="E64" s="8">
        <f t="shared" si="8"/>
        <v>0.92994505494505497</v>
      </c>
      <c r="F64" s="29">
        <v>23</v>
      </c>
      <c r="G64" s="29">
        <v>13</v>
      </c>
      <c r="H64" s="8">
        <f t="shared" si="9"/>
        <v>0.56521739130434778</v>
      </c>
      <c r="I64" s="29">
        <v>138</v>
      </c>
      <c r="J64" s="29">
        <v>116</v>
      </c>
      <c r="K64" s="8">
        <f t="shared" si="10"/>
        <v>0.84057971014492749</v>
      </c>
      <c r="L64" s="29">
        <v>394</v>
      </c>
      <c r="M64" s="29">
        <v>380</v>
      </c>
      <c r="N64" s="8">
        <f t="shared" si="11"/>
        <v>0.96446700507614214</v>
      </c>
      <c r="O64" s="29">
        <v>173</v>
      </c>
      <c r="P64" s="29">
        <v>168</v>
      </c>
      <c r="Q64" s="8">
        <f t="shared" si="12"/>
        <v>0.97109826589595372</v>
      </c>
      <c r="R64" s="29">
        <v>0</v>
      </c>
    </row>
    <row r="65" spans="1:18" x14ac:dyDescent="0.25">
      <c r="A65" s="13">
        <v>41671</v>
      </c>
      <c r="B65" s="8">
        <v>0.9</v>
      </c>
      <c r="C65" s="29">
        <v>593</v>
      </c>
      <c r="D65" s="29">
        <v>500</v>
      </c>
      <c r="E65" s="8">
        <f t="shared" si="8"/>
        <v>0.84317032040472173</v>
      </c>
      <c r="F65" s="29">
        <v>10</v>
      </c>
      <c r="G65" s="29">
        <v>5</v>
      </c>
      <c r="H65" s="8">
        <f t="shared" si="9"/>
        <v>0.5</v>
      </c>
      <c r="I65" s="29">
        <v>146</v>
      </c>
      <c r="J65" s="29">
        <v>117</v>
      </c>
      <c r="K65" s="8">
        <f t="shared" si="10"/>
        <v>0.80136986301369861</v>
      </c>
      <c r="L65" s="29">
        <v>245</v>
      </c>
      <c r="M65" s="29">
        <v>218</v>
      </c>
      <c r="N65" s="8">
        <f t="shared" si="11"/>
        <v>0.88979591836734695</v>
      </c>
      <c r="O65" s="29">
        <v>192</v>
      </c>
      <c r="P65" s="29">
        <v>160</v>
      </c>
      <c r="Q65" s="8">
        <f t="shared" si="12"/>
        <v>0.83333333333333337</v>
      </c>
      <c r="R65" s="29">
        <v>0</v>
      </c>
    </row>
    <row r="66" spans="1:18" x14ac:dyDescent="0.25">
      <c r="A66" s="13">
        <v>41699</v>
      </c>
      <c r="B66" s="8">
        <v>0.9</v>
      </c>
      <c r="C66" s="29">
        <v>514</v>
      </c>
      <c r="D66" s="29">
        <v>459</v>
      </c>
      <c r="E66" s="8">
        <f t="shared" si="8"/>
        <v>0.89299610894941639</v>
      </c>
      <c r="F66" s="29">
        <v>33</v>
      </c>
      <c r="G66" s="29">
        <v>31</v>
      </c>
      <c r="H66" s="8">
        <f t="shared" si="9"/>
        <v>0.93939393939393945</v>
      </c>
      <c r="I66" s="29">
        <v>111</v>
      </c>
      <c r="J66" s="29">
        <v>99</v>
      </c>
      <c r="K66" s="8">
        <f t="shared" si="10"/>
        <v>0.89189189189189189</v>
      </c>
      <c r="L66" s="29">
        <v>197</v>
      </c>
      <c r="M66" s="29">
        <v>181</v>
      </c>
      <c r="N66" s="8">
        <f t="shared" si="11"/>
        <v>0.91878172588832485</v>
      </c>
      <c r="O66" s="29">
        <v>173</v>
      </c>
      <c r="P66" s="29">
        <v>148</v>
      </c>
      <c r="Q66" s="8">
        <f t="shared" si="12"/>
        <v>0.8554913294797688</v>
      </c>
      <c r="R66" s="29">
        <v>1</v>
      </c>
    </row>
    <row r="67" spans="1:18" x14ac:dyDescent="0.25">
      <c r="A67" s="13">
        <v>41730</v>
      </c>
      <c r="B67" s="8">
        <v>0.9</v>
      </c>
      <c r="C67" s="29">
        <v>585</v>
      </c>
      <c r="D67" s="29">
        <v>495</v>
      </c>
      <c r="E67" s="8">
        <f t="shared" si="8"/>
        <v>0.84615384615384615</v>
      </c>
      <c r="F67" s="29">
        <v>32</v>
      </c>
      <c r="G67" s="29">
        <v>28</v>
      </c>
      <c r="H67" s="8">
        <f t="shared" si="9"/>
        <v>0.875</v>
      </c>
      <c r="I67" s="29">
        <v>128</v>
      </c>
      <c r="J67" s="29">
        <v>117</v>
      </c>
      <c r="K67" s="8">
        <f t="shared" si="10"/>
        <v>0.9140625</v>
      </c>
      <c r="L67" s="29">
        <v>252</v>
      </c>
      <c r="M67" s="29">
        <v>227</v>
      </c>
      <c r="N67" s="8">
        <f t="shared" si="11"/>
        <v>0.90079365079365081</v>
      </c>
      <c r="O67" s="29">
        <v>173</v>
      </c>
      <c r="P67" s="29">
        <v>123</v>
      </c>
      <c r="Q67" s="8">
        <f t="shared" si="12"/>
        <v>0.71098265895953761</v>
      </c>
      <c r="R67" s="29">
        <v>0</v>
      </c>
    </row>
    <row r="68" spans="1:18" x14ac:dyDescent="0.25">
      <c r="A68" s="13">
        <v>41760</v>
      </c>
      <c r="B68" s="8">
        <v>0.9</v>
      </c>
      <c r="C68" s="29">
        <v>616</v>
      </c>
      <c r="D68" s="29">
        <v>511</v>
      </c>
      <c r="E68" s="8">
        <f t="shared" si="8"/>
        <v>0.82954545454545459</v>
      </c>
      <c r="F68" s="29">
        <v>19</v>
      </c>
      <c r="G68" s="29">
        <v>15</v>
      </c>
      <c r="H68" s="8">
        <f t="shared" si="9"/>
        <v>0.78947368421052633</v>
      </c>
      <c r="I68" s="29">
        <v>184</v>
      </c>
      <c r="J68" s="29">
        <v>142</v>
      </c>
      <c r="K68" s="8">
        <f t="shared" si="10"/>
        <v>0.77173913043478259</v>
      </c>
      <c r="L68" s="29">
        <v>265</v>
      </c>
      <c r="M68" s="29">
        <v>239</v>
      </c>
      <c r="N68" s="8">
        <f t="shared" si="11"/>
        <v>0.90188679245283021</v>
      </c>
      <c r="O68" s="29">
        <v>148</v>
      </c>
      <c r="P68" s="29">
        <v>115</v>
      </c>
      <c r="Q68" s="8">
        <f t="shared" si="12"/>
        <v>0.77702702702702697</v>
      </c>
      <c r="R68" s="29">
        <v>1</v>
      </c>
    </row>
    <row r="69" spans="1:18" x14ac:dyDescent="0.25">
      <c r="A69" s="13">
        <v>41791</v>
      </c>
      <c r="B69" s="8">
        <v>0.9</v>
      </c>
      <c r="C69" s="29">
        <v>665</v>
      </c>
      <c r="D69" s="29">
        <v>578</v>
      </c>
      <c r="E69" s="8">
        <f t="shared" si="8"/>
        <v>0.86917293233082704</v>
      </c>
      <c r="F69" s="29">
        <v>36</v>
      </c>
      <c r="G69" s="29">
        <v>34</v>
      </c>
      <c r="H69" s="8">
        <f t="shared" si="9"/>
        <v>0.94444444444444442</v>
      </c>
      <c r="I69" s="29">
        <v>141</v>
      </c>
      <c r="J69" s="29">
        <v>117</v>
      </c>
      <c r="K69" s="8">
        <f t="shared" si="10"/>
        <v>0.82978723404255317</v>
      </c>
      <c r="L69" s="29">
        <v>278</v>
      </c>
      <c r="M69" s="29">
        <v>238</v>
      </c>
      <c r="N69" s="8">
        <f t="shared" si="11"/>
        <v>0.85611510791366907</v>
      </c>
      <c r="O69" s="29">
        <v>210</v>
      </c>
      <c r="P69" s="29">
        <v>189</v>
      </c>
      <c r="Q69" s="8">
        <f t="shared" si="12"/>
        <v>0.9</v>
      </c>
      <c r="R69" s="29">
        <v>0</v>
      </c>
    </row>
    <row r="70" spans="1:18" x14ac:dyDescent="0.25">
      <c r="A70" s="13">
        <v>41821</v>
      </c>
      <c r="B70" s="8">
        <v>0.9</v>
      </c>
      <c r="C70" s="29">
        <v>547</v>
      </c>
      <c r="D70" s="29">
        <v>514</v>
      </c>
      <c r="E70" s="8">
        <f t="shared" si="8"/>
        <v>0.93967093235831811</v>
      </c>
      <c r="F70" s="29">
        <v>20</v>
      </c>
      <c r="G70" s="29">
        <v>17</v>
      </c>
      <c r="H70" s="8">
        <f t="shared" si="9"/>
        <v>0.85</v>
      </c>
      <c r="I70" s="29">
        <v>134</v>
      </c>
      <c r="J70" s="29">
        <v>126</v>
      </c>
      <c r="K70" s="8">
        <f t="shared" si="10"/>
        <v>0.94029850746268662</v>
      </c>
      <c r="L70" s="29">
        <v>194</v>
      </c>
      <c r="M70" s="29">
        <v>186</v>
      </c>
      <c r="N70" s="8">
        <f t="shared" si="11"/>
        <v>0.95876288659793818</v>
      </c>
      <c r="O70" s="29">
        <v>199</v>
      </c>
      <c r="P70" s="29">
        <v>185</v>
      </c>
      <c r="Q70" s="8">
        <f t="shared" si="12"/>
        <v>0.92964824120603018</v>
      </c>
      <c r="R70" s="29">
        <v>0</v>
      </c>
    </row>
    <row r="71" spans="1:18" x14ac:dyDescent="0.25">
      <c r="A71" s="13">
        <v>41852</v>
      </c>
      <c r="B71" s="8">
        <v>0.9</v>
      </c>
      <c r="C71" s="29">
        <v>633</v>
      </c>
      <c r="D71" s="29">
        <v>585</v>
      </c>
      <c r="E71" s="8">
        <f t="shared" si="8"/>
        <v>0.92417061611374407</v>
      </c>
      <c r="F71" s="29">
        <v>34</v>
      </c>
      <c r="G71" s="29">
        <v>32</v>
      </c>
      <c r="H71" s="8">
        <f t="shared" si="9"/>
        <v>0.94117647058823528</v>
      </c>
      <c r="I71" s="29">
        <v>127</v>
      </c>
      <c r="J71" s="29">
        <v>116</v>
      </c>
      <c r="K71" s="8">
        <f t="shared" si="10"/>
        <v>0.91338582677165359</v>
      </c>
      <c r="L71" s="29">
        <v>209</v>
      </c>
      <c r="M71" s="29">
        <v>191</v>
      </c>
      <c r="N71" s="8">
        <f t="shared" si="11"/>
        <v>0.9138755980861244</v>
      </c>
      <c r="O71" s="29">
        <v>263</v>
      </c>
      <c r="P71" s="29">
        <v>246</v>
      </c>
      <c r="Q71" s="8">
        <f t="shared" si="12"/>
        <v>0.93536121673003803</v>
      </c>
      <c r="R71" s="29">
        <v>1</v>
      </c>
    </row>
    <row r="72" spans="1:18" ht="12.75" customHeight="1" x14ac:dyDescent="0.25"/>
    <row r="93" spans="1:16" x14ac:dyDescent="0.25">
      <c r="L93" s="113"/>
      <c r="M93" s="113"/>
      <c r="N93" s="113"/>
      <c r="O93" s="113"/>
      <c r="P93" s="113"/>
    </row>
    <row r="94" spans="1:16" x14ac:dyDescent="0.25">
      <c r="A94" s="3"/>
      <c r="B94" s="4" t="s">
        <v>178</v>
      </c>
      <c r="C94" s="4"/>
      <c r="D94" s="189"/>
      <c r="E94" s="189"/>
      <c r="F94" s="190"/>
      <c r="G94" s="191"/>
      <c r="H94" s="191"/>
      <c r="L94" s="192"/>
      <c r="M94" s="192"/>
      <c r="N94" s="193"/>
      <c r="O94" s="194"/>
      <c r="P94" s="194"/>
    </row>
    <row r="95" spans="1:16" s="4" customFormat="1" x14ac:dyDescent="0.25">
      <c r="A95" s="4" t="s">
        <v>72</v>
      </c>
      <c r="B95" s="151" t="s">
        <v>0</v>
      </c>
      <c r="C95" s="151" t="s">
        <v>182</v>
      </c>
      <c r="D95" s="151" t="s">
        <v>183</v>
      </c>
      <c r="E95" s="4" t="s">
        <v>187</v>
      </c>
      <c r="F95" s="4" t="s">
        <v>185</v>
      </c>
      <c r="G95" s="4" t="s">
        <v>186</v>
      </c>
      <c r="H95" s="4" t="s">
        <v>192</v>
      </c>
      <c r="J95" s="151"/>
      <c r="K95" s="151"/>
      <c r="L95" s="113"/>
      <c r="M95" s="113"/>
      <c r="N95" s="113"/>
      <c r="O95" s="113"/>
      <c r="P95" s="113"/>
    </row>
    <row r="96" spans="1:16" x14ac:dyDescent="0.25">
      <c r="A96" s="13">
        <v>41061</v>
      </c>
      <c r="B96" s="65">
        <f>SUM(C96:H96)</f>
        <v>615</v>
      </c>
      <c r="C96" s="65">
        <v>358</v>
      </c>
      <c r="D96" s="65">
        <v>83</v>
      </c>
      <c r="E96" s="65">
        <v>76</v>
      </c>
      <c r="F96" s="65">
        <v>48</v>
      </c>
      <c r="G96" s="65">
        <v>44</v>
      </c>
      <c r="H96" s="65">
        <v>6</v>
      </c>
      <c r="I96" s="56"/>
      <c r="J96" s="39"/>
      <c r="K96" s="39"/>
      <c r="L96" s="195"/>
      <c r="M96" s="196"/>
      <c r="N96" s="196"/>
      <c r="O96" s="196"/>
      <c r="P96" s="196"/>
    </row>
    <row r="97" spans="1:16" x14ac:dyDescent="0.25">
      <c r="A97" s="13">
        <v>41091</v>
      </c>
      <c r="B97" s="65">
        <f>SUM(C97:H97)</f>
        <v>700</v>
      </c>
      <c r="C97" s="65">
        <v>380</v>
      </c>
      <c r="D97" s="65">
        <v>165</v>
      </c>
      <c r="E97" s="65">
        <v>53</v>
      </c>
      <c r="F97" s="65">
        <v>43</v>
      </c>
      <c r="G97" s="65">
        <v>53</v>
      </c>
      <c r="H97" s="65">
        <v>6</v>
      </c>
      <c r="J97" s="39"/>
      <c r="K97" s="39"/>
      <c r="L97" s="39"/>
      <c r="M97" s="39"/>
      <c r="N97" s="39"/>
      <c r="O97" s="39"/>
      <c r="P97" s="39"/>
    </row>
    <row r="98" spans="1:16" x14ac:dyDescent="0.25">
      <c r="A98" s="13">
        <v>41122</v>
      </c>
      <c r="B98" s="40">
        <v>697</v>
      </c>
      <c r="C98" s="66">
        <v>339</v>
      </c>
      <c r="D98" s="65">
        <v>107</v>
      </c>
      <c r="E98" s="65">
        <v>154</v>
      </c>
      <c r="F98" s="65">
        <v>41</v>
      </c>
      <c r="G98" s="65">
        <v>50</v>
      </c>
      <c r="H98" s="65">
        <v>6</v>
      </c>
      <c r="J98" s="40"/>
      <c r="K98" s="40"/>
      <c r="L98" s="39"/>
    </row>
    <row r="99" spans="1:16" x14ac:dyDescent="0.25">
      <c r="A99" s="13">
        <v>41153</v>
      </c>
      <c r="B99" s="65">
        <v>611</v>
      </c>
      <c r="C99" s="65">
        <v>279</v>
      </c>
      <c r="D99" s="65">
        <v>60</v>
      </c>
      <c r="E99" s="65">
        <v>36</v>
      </c>
      <c r="F99" s="65">
        <v>175</v>
      </c>
      <c r="G99" s="65">
        <v>46</v>
      </c>
      <c r="H99" s="65">
        <v>15</v>
      </c>
      <c r="L99" s="41"/>
      <c r="M99" s="39"/>
      <c r="N99" s="39"/>
      <c r="O99" s="39"/>
      <c r="P99" s="39"/>
    </row>
    <row r="100" spans="1:16" x14ac:dyDescent="0.25">
      <c r="A100" s="13">
        <v>41183</v>
      </c>
      <c r="B100" s="39">
        <v>299</v>
      </c>
      <c r="C100" s="39">
        <v>252</v>
      </c>
      <c r="D100" s="39">
        <v>34</v>
      </c>
      <c r="E100" s="39">
        <v>7</v>
      </c>
      <c r="F100" s="39">
        <v>5</v>
      </c>
      <c r="G100" s="39">
        <v>1</v>
      </c>
      <c r="H100" s="39">
        <v>0</v>
      </c>
    </row>
    <row r="101" spans="1:16" x14ac:dyDescent="0.25">
      <c r="A101" s="13">
        <v>41214</v>
      </c>
      <c r="B101" s="39">
        <v>311</v>
      </c>
      <c r="C101" s="39">
        <v>191</v>
      </c>
      <c r="D101" s="39">
        <v>90</v>
      </c>
      <c r="E101" s="39">
        <v>21</v>
      </c>
      <c r="F101" s="39">
        <v>9</v>
      </c>
      <c r="G101" s="39">
        <v>0</v>
      </c>
      <c r="H101" s="39">
        <v>0</v>
      </c>
    </row>
    <row r="102" spans="1:16" x14ac:dyDescent="0.25">
      <c r="A102" s="13">
        <v>41244</v>
      </c>
      <c r="B102" s="39">
        <v>290</v>
      </c>
      <c r="C102" s="39">
        <v>166</v>
      </c>
      <c r="D102" s="39">
        <v>57</v>
      </c>
      <c r="E102" s="39">
        <v>47</v>
      </c>
      <c r="F102" s="39">
        <v>20</v>
      </c>
      <c r="G102" s="39">
        <v>0</v>
      </c>
      <c r="H102" s="39">
        <v>0</v>
      </c>
    </row>
    <row r="103" spans="1:16" x14ac:dyDescent="0.25">
      <c r="A103" s="13">
        <v>41275</v>
      </c>
      <c r="B103" s="39">
        <v>346</v>
      </c>
      <c r="C103" s="39">
        <v>225</v>
      </c>
      <c r="D103" s="39">
        <v>52</v>
      </c>
      <c r="E103" s="39">
        <v>18</v>
      </c>
      <c r="F103" s="39">
        <v>49</v>
      </c>
      <c r="G103" s="39">
        <v>2</v>
      </c>
      <c r="H103" s="39">
        <v>0</v>
      </c>
    </row>
    <row r="104" spans="1:16" x14ac:dyDescent="0.25">
      <c r="A104" s="13">
        <v>41306</v>
      </c>
      <c r="B104" s="39">
        <v>377</v>
      </c>
      <c r="C104" s="39">
        <v>198</v>
      </c>
      <c r="D104" s="39">
        <v>81</v>
      </c>
      <c r="E104" s="39">
        <v>37</v>
      </c>
      <c r="F104" s="39">
        <v>57</v>
      </c>
      <c r="G104" s="39">
        <v>2</v>
      </c>
      <c r="H104" s="39">
        <v>2</v>
      </c>
    </row>
    <row r="105" spans="1:16" x14ac:dyDescent="0.25">
      <c r="A105" s="13">
        <v>41334</v>
      </c>
      <c r="B105" s="39">
        <v>286</v>
      </c>
      <c r="C105" s="39">
        <v>163</v>
      </c>
      <c r="D105" s="39">
        <v>53</v>
      </c>
      <c r="E105" s="39">
        <v>31</v>
      </c>
      <c r="F105" s="39">
        <v>32</v>
      </c>
      <c r="G105" s="39">
        <v>5</v>
      </c>
      <c r="H105" s="39">
        <v>2</v>
      </c>
    </row>
    <row r="106" spans="1:16" x14ac:dyDescent="0.25">
      <c r="A106" s="13">
        <v>41365</v>
      </c>
      <c r="B106" s="39">
        <v>285</v>
      </c>
      <c r="C106" s="39">
        <v>226</v>
      </c>
      <c r="D106" s="39">
        <v>27</v>
      </c>
      <c r="E106" s="39">
        <v>24</v>
      </c>
      <c r="F106" s="39">
        <v>4</v>
      </c>
      <c r="G106" s="39">
        <v>2</v>
      </c>
      <c r="H106" s="39">
        <v>2</v>
      </c>
    </row>
    <row r="107" spans="1:16" x14ac:dyDescent="0.25">
      <c r="A107" s="13">
        <v>41395</v>
      </c>
      <c r="B107" s="39">
        <v>533</v>
      </c>
      <c r="C107" s="39">
        <v>438</v>
      </c>
      <c r="D107" s="39">
        <v>52</v>
      </c>
      <c r="E107" s="39">
        <v>19</v>
      </c>
      <c r="F107" s="39">
        <v>20</v>
      </c>
      <c r="G107" s="39">
        <v>2</v>
      </c>
      <c r="H107" s="39">
        <v>2</v>
      </c>
    </row>
    <row r="108" spans="1:16" x14ac:dyDescent="0.25">
      <c r="A108" s="13">
        <v>41426</v>
      </c>
      <c r="B108" s="39">
        <v>461</v>
      </c>
      <c r="C108" s="39">
        <v>241</v>
      </c>
      <c r="D108" s="39">
        <v>150</v>
      </c>
      <c r="E108" s="39">
        <v>34</v>
      </c>
      <c r="F108" s="39">
        <v>30</v>
      </c>
      <c r="G108" s="39">
        <v>3</v>
      </c>
      <c r="H108" s="39">
        <v>3</v>
      </c>
    </row>
    <row r="109" spans="1:16" x14ac:dyDescent="0.25">
      <c r="A109" s="13">
        <v>41456</v>
      </c>
      <c r="B109" s="39">
        <v>531</v>
      </c>
      <c r="C109" s="39">
        <v>350</v>
      </c>
      <c r="D109" s="39">
        <v>60</v>
      </c>
      <c r="E109" s="39">
        <v>86</v>
      </c>
      <c r="F109" s="39">
        <v>31</v>
      </c>
      <c r="G109" s="39">
        <v>3</v>
      </c>
      <c r="H109" s="39">
        <v>1</v>
      </c>
    </row>
    <row r="110" spans="1:16" x14ac:dyDescent="0.25">
      <c r="A110" s="13">
        <v>41487</v>
      </c>
      <c r="B110" s="39">
        <v>644</v>
      </c>
      <c r="C110" s="39">
        <v>450</v>
      </c>
      <c r="D110" s="39">
        <v>130</v>
      </c>
      <c r="E110" s="39">
        <v>18</v>
      </c>
      <c r="F110" s="39">
        <v>42</v>
      </c>
      <c r="G110" s="39">
        <v>3</v>
      </c>
      <c r="H110" s="39">
        <v>1</v>
      </c>
    </row>
    <row r="111" spans="1:16" x14ac:dyDescent="0.25">
      <c r="A111" s="13">
        <v>41518</v>
      </c>
      <c r="B111" s="39">
        <v>502</v>
      </c>
      <c r="C111" s="39">
        <v>301</v>
      </c>
      <c r="D111" s="39">
        <v>152</v>
      </c>
      <c r="E111" s="39">
        <v>46</v>
      </c>
      <c r="F111" s="39">
        <v>2</v>
      </c>
      <c r="G111" s="39">
        <v>1</v>
      </c>
      <c r="H111" s="39">
        <v>0</v>
      </c>
    </row>
    <row r="112" spans="1:16" x14ac:dyDescent="0.25">
      <c r="A112" s="13">
        <v>41548</v>
      </c>
      <c r="B112" s="39">
        <v>342</v>
      </c>
      <c r="C112" s="39">
        <v>313</v>
      </c>
      <c r="D112" s="39">
        <v>18</v>
      </c>
      <c r="E112" s="39">
        <v>6</v>
      </c>
      <c r="F112" s="39">
        <v>4</v>
      </c>
      <c r="G112" s="39">
        <v>1</v>
      </c>
      <c r="H112" s="39">
        <v>0</v>
      </c>
    </row>
    <row r="113" spans="1:8" x14ac:dyDescent="0.25">
      <c r="A113" s="13">
        <v>41579</v>
      </c>
      <c r="B113" s="39">
        <v>279</v>
      </c>
      <c r="C113" s="39">
        <v>182</v>
      </c>
      <c r="D113" s="39">
        <v>72</v>
      </c>
      <c r="E113" s="39">
        <v>16</v>
      </c>
      <c r="F113" s="39">
        <v>8</v>
      </c>
      <c r="G113" s="39">
        <v>1</v>
      </c>
      <c r="H113" s="39">
        <v>0</v>
      </c>
    </row>
    <row r="114" spans="1:8" x14ac:dyDescent="0.25">
      <c r="A114" s="13">
        <v>41609</v>
      </c>
      <c r="B114" s="39">
        <v>285</v>
      </c>
      <c r="C114" s="39">
        <v>192</v>
      </c>
      <c r="D114" s="39">
        <v>48</v>
      </c>
      <c r="E114" s="39">
        <v>40</v>
      </c>
      <c r="F114" s="39">
        <v>5</v>
      </c>
      <c r="G114" s="39">
        <v>0</v>
      </c>
      <c r="H114" s="39">
        <v>0</v>
      </c>
    </row>
    <row r="115" spans="1:8" x14ac:dyDescent="0.25">
      <c r="A115" s="13">
        <v>41640</v>
      </c>
      <c r="B115" s="39">
        <v>395</v>
      </c>
      <c r="C115" s="39">
        <v>245</v>
      </c>
      <c r="D115" s="39">
        <v>73</v>
      </c>
      <c r="E115" s="39">
        <v>38</v>
      </c>
      <c r="F115" s="39">
        <v>39</v>
      </c>
      <c r="G115" s="39">
        <v>0</v>
      </c>
      <c r="H115" s="39">
        <v>0</v>
      </c>
    </row>
    <row r="116" spans="1:8" x14ac:dyDescent="0.25">
      <c r="A116" s="13">
        <v>41671</v>
      </c>
      <c r="B116" s="39">
        <v>309</v>
      </c>
      <c r="C116" s="39">
        <v>167</v>
      </c>
      <c r="D116" s="39">
        <v>59</v>
      </c>
      <c r="E116" s="39">
        <v>27</v>
      </c>
      <c r="F116" s="39">
        <v>55</v>
      </c>
      <c r="G116" s="39">
        <v>1</v>
      </c>
      <c r="H116" s="39">
        <v>0</v>
      </c>
    </row>
    <row r="117" spans="1:8" x14ac:dyDescent="0.25">
      <c r="A117" s="13">
        <v>41699</v>
      </c>
      <c r="B117" s="39">
        <v>322</v>
      </c>
      <c r="C117" s="39">
        <v>135</v>
      </c>
      <c r="D117" s="39">
        <v>74</v>
      </c>
      <c r="E117" s="39">
        <v>47</v>
      </c>
      <c r="F117" s="39">
        <v>63</v>
      </c>
      <c r="G117" s="39">
        <v>3</v>
      </c>
      <c r="H117" s="39">
        <v>0</v>
      </c>
    </row>
    <row r="118" spans="1:8" x14ac:dyDescent="0.25">
      <c r="A118" s="13">
        <v>41730</v>
      </c>
      <c r="B118" s="39">
        <v>369</v>
      </c>
      <c r="C118" s="39">
        <v>228</v>
      </c>
      <c r="D118" s="39">
        <v>26</v>
      </c>
      <c r="E118" s="39">
        <v>41</v>
      </c>
      <c r="F118" s="39">
        <v>44</v>
      </c>
      <c r="G118" s="39">
        <v>30</v>
      </c>
      <c r="H118" s="39">
        <v>0</v>
      </c>
    </row>
    <row r="119" spans="1:8" x14ac:dyDescent="0.25">
      <c r="A119" s="13">
        <v>41760</v>
      </c>
      <c r="B119" s="39">
        <v>346</v>
      </c>
      <c r="C119" s="39">
        <v>257</v>
      </c>
      <c r="D119" s="39">
        <v>34</v>
      </c>
      <c r="E119" s="39">
        <v>13</v>
      </c>
      <c r="F119" s="39">
        <v>18</v>
      </c>
      <c r="G119" s="39">
        <v>24</v>
      </c>
      <c r="H119" s="39">
        <v>0</v>
      </c>
    </row>
    <row r="120" spans="1:8" x14ac:dyDescent="0.25">
      <c r="A120" s="13">
        <v>41791</v>
      </c>
      <c r="B120" s="39">
        <v>248</v>
      </c>
      <c r="C120" s="39">
        <v>198</v>
      </c>
      <c r="D120" s="39">
        <v>43</v>
      </c>
      <c r="E120" s="39">
        <v>3</v>
      </c>
      <c r="F120" s="39">
        <v>2</v>
      </c>
      <c r="G120" s="39">
        <v>2</v>
      </c>
      <c r="H120" s="39">
        <v>0</v>
      </c>
    </row>
    <row r="121" spans="1:8" x14ac:dyDescent="0.25">
      <c r="A121" s="13">
        <v>41821</v>
      </c>
      <c r="B121" s="39">
        <v>232</v>
      </c>
      <c r="C121" s="39">
        <v>128</v>
      </c>
      <c r="D121" s="39">
        <v>78</v>
      </c>
      <c r="E121" s="39">
        <v>19</v>
      </c>
      <c r="F121" s="39">
        <v>5</v>
      </c>
      <c r="G121" s="39">
        <v>2</v>
      </c>
      <c r="H121" s="39">
        <v>0</v>
      </c>
    </row>
    <row r="122" spans="1:8" x14ac:dyDescent="0.25">
      <c r="A122" s="13">
        <v>41852</v>
      </c>
      <c r="B122" s="39">
        <v>333</v>
      </c>
      <c r="C122" s="39">
        <v>236</v>
      </c>
      <c r="D122" s="39">
        <v>32</v>
      </c>
      <c r="E122" s="39">
        <v>49</v>
      </c>
      <c r="F122" s="39">
        <v>14</v>
      </c>
      <c r="G122" s="39">
        <v>2</v>
      </c>
      <c r="H122" s="39">
        <v>0</v>
      </c>
    </row>
    <row r="123" spans="1:8" x14ac:dyDescent="0.25">
      <c r="C123"/>
      <c r="D123"/>
      <c r="E123"/>
      <c r="F123"/>
      <c r="G123"/>
    </row>
    <row r="124" spans="1:8" x14ac:dyDescent="0.25">
      <c r="C124"/>
      <c r="D124"/>
      <c r="E124"/>
      <c r="F124"/>
      <c r="G124"/>
    </row>
    <row r="125" spans="1:8" x14ac:dyDescent="0.25">
      <c r="C125"/>
      <c r="D125"/>
      <c r="E125"/>
      <c r="F125"/>
      <c r="G125"/>
    </row>
    <row r="126" spans="1:8" x14ac:dyDescent="0.25">
      <c r="C126"/>
      <c r="D126"/>
      <c r="E126"/>
      <c r="F126"/>
      <c r="G126"/>
    </row>
    <row r="127" spans="1:8" x14ac:dyDescent="0.25">
      <c r="C127"/>
      <c r="D127"/>
      <c r="E127"/>
      <c r="F127"/>
      <c r="G127"/>
    </row>
    <row r="128" spans="1:8" x14ac:dyDescent="0.25">
      <c r="C128"/>
      <c r="D128"/>
      <c r="E128"/>
      <c r="F128"/>
      <c r="G128"/>
    </row>
    <row r="129" spans="3:7" x14ac:dyDescent="0.25">
      <c r="C129"/>
      <c r="D129"/>
      <c r="E129"/>
      <c r="F129"/>
      <c r="G129"/>
    </row>
    <row r="130" spans="3:7" x14ac:dyDescent="0.25">
      <c r="C130"/>
      <c r="D130"/>
      <c r="E130"/>
      <c r="F130"/>
      <c r="G130"/>
    </row>
    <row r="131" spans="3:7" x14ac:dyDescent="0.25">
      <c r="C131"/>
      <c r="D131"/>
      <c r="E131"/>
      <c r="F131"/>
      <c r="G131"/>
    </row>
    <row r="132" spans="3:7" x14ac:dyDescent="0.25">
      <c r="C132"/>
      <c r="D132"/>
      <c r="E132"/>
      <c r="F132"/>
      <c r="G132"/>
    </row>
    <row r="133" spans="3:7" x14ac:dyDescent="0.25">
      <c r="C133"/>
      <c r="D133"/>
      <c r="E133"/>
      <c r="F133"/>
      <c r="G133"/>
    </row>
    <row r="134" spans="3:7" x14ac:dyDescent="0.25">
      <c r="C134"/>
      <c r="D134"/>
      <c r="E134"/>
      <c r="F134"/>
      <c r="G134"/>
    </row>
    <row r="135" spans="3:7" x14ac:dyDescent="0.25">
      <c r="C135"/>
      <c r="D135"/>
      <c r="E135"/>
      <c r="F135"/>
      <c r="G135"/>
    </row>
    <row r="136" spans="3:7" x14ac:dyDescent="0.25">
      <c r="C136"/>
      <c r="D136"/>
      <c r="E136"/>
      <c r="F136"/>
      <c r="G136"/>
    </row>
    <row r="137" spans="3:7" x14ac:dyDescent="0.25">
      <c r="C137"/>
      <c r="D137"/>
      <c r="E137"/>
      <c r="F137"/>
      <c r="G137"/>
    </row>
    <row r="138" spans="3:7" x14ac:dyDescent="0.25">
      <c r="C138"/>
      <c r="D138"/>
      <c r="E138"/>
      <c r="F138"/>
      <c r="G138"/>
    </row>
    <row r="139" spans="3:7" x14ac:dyDescent="0.25">
      <c r="C139"/>
      <c r="D139"/>
      <c r="E139"/>
      <c r="F139"/>
      <c r="G139"/>
    </row>
    <row r="140" spans="3:7" x14ac:dyDescent="0.25">
      <c r="C140"/>
      <c r="D140"/>
      <c r="E140"/>
      <c r="F140"/>
      <c r="G140"/>
    </row>
    <row r="141" spans="3:7" x14ac:dyDescent="0.25">
      <c r="C141"/>
      <c r="D141"/>
      <c r="E141"/>
      <c r="F141"/>
      <c r="G141"/>
    </row>
    <row r="142" spans="3:7" x14ac:dyDescent="0.25">
      <c r="C142"/>
      <c r="D142"/>
      <c r="E142"/>
      <c r="F142"/>
      <c r="G142"/>
    </row>
    <row r="143" spans="3:7" x14ac:dyDescent="0.25">
      <c r="C143"/>
      <c r="D143"/>
      <c r="E143"/>
      <c r="F143"/>
      <c r="G143"/>
    </row>
    <row r="144" spans="3:7" x14ac:dyDescent="0.25">
      <c r="C144"/>
      <c r="D144"/>
      <c r="E144"/>
      <c r="F144"/>
      <c r="G144"/>
    </row>
    <row r="145" spans="3:7" x14ac:dyDescent="0.25">
      <c r="C145"/>
      <c r="D145"/>
      <c r="E145"/>
      <c r="F145"/>
      <c r="G145"/>
    </row>
    <row r="146" spans="3:7" x14ac:dyDescent="0.25">
      <c r="C146"/>
      <c r="D146"/>
      <c r="E146"/>
      <c r="F146"/>
      <c r="G146"/>
    </row>
    <row r="147" spans="3:7" x14ac:dyDescent="0.25">
      <c r="C147"/>
      <c r="D147"/>
      <c r="E147"/>
      <c r="F147"/>
      <c r="G147"/>
    </row>
    <row r="148" spans="3:7" x14ac:dyDescent="0.25">
      <c r="C148"/>
      <c r="D148"/>
      <c r="E148"/>
      <c r="F148"/>
      <c r="G148"/>
    </row>
    <row r="149" spans="3:7" x14ac:dyDescent="0.25">
      <c r="C149"/>
      <c r="D149"/>
      <c r="E149"/>
      <c r="F149"/>
      <c r="G149"/>
    </row>
    <row r="150" spans="3:7" x14ac:dyDescent="0.25">
      <c r="C150"/>
      <c r="D150"/>
      <c r="E150"/>
      <c r="F150"/>
      <c r="G150"/>
    </row>
    <row r="151" spans="3:7" x14ac:dyDescent="0.25">
      <c r="C151"/>
      <c r="D151"/>
      <c r="E151"/>
      <c r="F151"/>
      <c r="G151"/>
    </row>
    <row r="152" spans="3:7" x14ac:dyDescent="0.25">
      <c r="C152"/>
      <c r="D152"/>
      <c r="E152"/>
      <c r="F152"/>
      <c r="G152"/>
    </row>
    <row r="153" spans="3:7" x14ac:dyDescent="0.25">
      <c r="C153"/>
      <c r="D153"/>
      <c r="E153"/>
      <c r="F153"/>
      <c r="G153"/>
    </row>
    <row r="154" spans="3:7" x14ac:dyDescent="0.25">
      <c r="C154"/>
      <c r="D154"/>
      <c r="E154"/>
      <c r="F154"/>
      <c r="G154"/>
    </row>
    <row r="155" spans="3:7" x14ac:dyDescent="0.25">
      <c r="C155"/>
      <c r="D155"/>
      <c r="E155"/>
      <c r="F155"/>
      <c r="G155"/>
    </row>
    <row r="156" spans="3:7" x14ac:dyDescent="0.25">
      <c r="C156"/>
      <c r="D156"/>
      <c r="E156"/>
      <c r="F156"/>
      <c r="G156"/>
    </row>
    <row r="157" spans="3:7" x14ac:dyDescent="0.25">
      <c r="C157"/>
      <c r="D157"/>
      <c r="E157"/>
      <c r="F157"/>
      <c r="G157"/>
    </row>
    <row r="158" spans="3:7" x14ac:dyDescent="0.25">
      <c r="C158"/>
      <c r="D158"/>
      <c r="E158"/>
      <c r="F158"/>
      <c r="G158"/>
    </row>
    <row r="159" spans="3:7" x14ac:dyDescent="0.25">
      <c r="C159"/>
      <c r="D159"/>
      <c r="E159"/>
      <c r="F159"/>
      <c r="G159"/>
    </row>
  </sheetData>
  <pageMargins left="0.25" right="0.25" top="0.75" bottom="0.75" header="0.3" footer="0.3"/>
  <pageSetup orientation="portrait" r:id="rId1"/>
  <rowBreaks count="1" manualBreakCount="1">
    <brk id="1" max="16383" man="1"/>
  </rowBreaks>
  <colBreaks count="2" manualBreakCount="2">
    <brk id="4" max="1048575" man="1"/>
    <brk id="18" max="1048575" man="1"/>
  </colBreaks>
  <ignoredErrors>
    <ignoredError sqref="C37:D43 F42 F43:G43 G42 I42:J43 L42:M43 O42:P43 C45:D45 F45:G46 I45:J46 L45:M46 O45:P46 F47:G47 O47:P47 L47:M47 I47:J47 O48:P48 L48:M48 I48:J48 F48:G48 C48:D48 C49:D49 F49:G49 I49:J49 L49:M49 O49:P49 C50:E50 O50:P50 L50:M50 I50:J50 F50:G50 C53:D53 F53:G53 I53:J53 L53:M53 O53:P53 E54 C54:D54 Q54 N54 K54 H54 F54:G54 I54:J54 L54:M54 O54:P54 C55:P55 C56:Q56 C57:P57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3"/>
  <sheetViews>
    <sheetView topLeftCell="A7" zoomScaleNormal="100" zoomScaleSheetLayoutView="50" workbookViewId="0">
      <selection activeCell="A34" sqref="A34"/>
    </sheetView>
  </sheetViews>
  <sheetFormatPr defaultRowHeight="15" x14ac:dyDescent="0.25"/>
  <cols>
    <col min="1" max="1" width="14.5703125" customWidth="1"/>
    <col min="2" max="2" width="11.42578125" customWidth="1"/>
    <col min="3" max="3" width="10" style="18" customWidth="1"/>
    <col min="4" max="4" width="10.140625" style="39" customWidth="1"/>
    <col min="5" max="5" width="6.85546875" style="18" customWidth="1"/>
    <col min="6" max="6" width="10.5703125" style="18" customWidth="1"/>
    <col min="7" max="7" width="10.7109375" style="39" customWidth="1"/>
    <col min="9" max="9" width="11.42578125" customWidth="1"/>
    <col min="10" max="10" width="11.7109375" customWidth="1"/>
    <col min="12" max="12" width="11" customWidth="1"/>
    <col min="13" max="13" width="10.85546875" customWidth="1"/>
    <col min="15" max="15" width="9.7109375" customWidth="1"/>
    <col min="16" max="16" width="10.85546875" customWidth="1"/>
  </cols>
  <sheetData>
    <row r="1" spans="1:7" ht="14.45" x14ac:dyDescent="0.3">
      <c r="A1" s="6"/>
      <c r="B1" s="6"/>
      <c r="C1" s="22"/>
      <c r="D1" s="41"/>
      <c r="E1" s="22"/>
      <c r="F1" s="22"/>
      <c r="G1" s="41"/>
    </row>
    <row r="2" spans="1:7" ht="28.9" x14ac:dyDescent="0.3">
      <c r="A2" s="6" t="s">
        <v>3</v>
      </c>
      <c r="B2" s="6" t="s">
        <v>6</v>
      </c>
      <c r="C2" s="18" t="s">
        <v>0</v>
      </c>
      <c r="E2" s="18" t="s">
        <v>1</v>
      </c>
    </row>
    <row r="3" spans="1:7" ht="14.45" x14ac:dyDescent="0.3">
      <c r="A3" s="1">
        <v>40909</v>
      </c>
      <c r="B3" s="1"/>
      <c r="C3" s="37">
        <v>12</v>
      </c>
      <c r="D3" s="40"/>
      <c r="E3" s="36">
        <v>11</v>
      </c>
      <c r="F3" s="20">
        <f>+E3/C3</f>
        <v>0.91666666666666663</v>
      </c>
      <c r="G3" s="20"/>
    </row>
    <row r="4" spans="1:7" ht="14.45" x14ac:dyDescent="0.3">
      <c r="A4" s="1">
        <v>40940</v>
      </c>
      <c r="B4" s="1"/>
      <c r="C4" s="37">
        <v>14</v>
      </c>
      <c r="D4" s="40"/>
      <c r="E4" s="38">
        <v>13</v>
      </c>
      <c r="F4" s="20">
        <f t="shared" ref="F4:F13" si="0">+E4/C4</f>
        <v>0.9285714285714286</v>
      </c>
      <c r="G4" s="20"/>
    </row>
    <row r="5" spans="1:7" ht="14.45" x14ac:dyDescent="0.3">
      <c r="A5" s="1">
        <v>40969</v>
      </c>
      <c r="B5" s="1"/>
      <c r="C5" s="37">
        <v>10</v>
      </c>
      <c r="D5" s="40"/>
      <c r="E5" s="38">
        <v>6</v>
      </c>
      <c r="F5" s="20">
        <f t="shared" si="0"/>
        <v>0.6</v>
      </c>
      <c r="G5" s="20"/>
    </row>
    <row r="6" spans="1:7" ht="14.45" x14ac:dyDescent="0.3">
      <c r="A6" s="1">
        <v>41000</v>
      </c>
      <c r="B6" s="1"/>
      <c r="C6" s="37">
        <v>7</v>
      </c>
      <c r="D6" s="40"/>
      <c r="E6" s="38">
        <v>6</v>
      </c>
      <c r="F6" s="20">
        <f t="shared" si="0"/>
        <v>0.8571428571428571</v>
      </c>
      <c r="G6" s="20"/>
    </row>
    <row r="7" spans="1:7" ht="14.45" x14ac:dyDescent="0.3">
      <c r="A7" s="1">
        <v>41030</v>
      </c>
      <c r="B7" s="1"/>
      <c r="C7" s="19">
        <v>7</v>
      </c>
      <c r="D7" s="40"/>
      <c r="E7" s="22">
        <v>3</v>
      </c>
      <c r="F7" s="20">
        <f t="shared" si="0"/>
        <v>0.42857142857142855</v>
      </c>
      <c r="G7" s="20"/>
    </row>
    <row r="8" spans="1:7" ht="14.45" x14ac:dyDescent="0.3">
      <c r="A8" s="1">
        <v>41061</v>
      </c>
      <c r="B8" s="1"/>
      <c r="C8" s="19">
        <v>7</v>
      </c>
      <c r="D8" s="40"/>
      <c r="E8" s="22">
        <v>2</v>
      </c>
      <c r="F8" s="20">
        <f t="shared" si="0"/>
        <v>0.2857142857142857</v>
      </c>
      <c r="G8" s="20"/>
    </row>
    <row r="9" spans="1:7" ht="14.45" x14ac:dyDescent="0.3">
      <c r="A9" s="1">
        <v>41091</v>
      </c>
      <c r="B9" s="1"/>
      <c r="C9" s="19">
        <v>6</v>
      </c>
      <c r="D9" s="40"/>
      <c r="E9" s="22">
        <v>0</v>
      </c>
      <c r="F9" s="20">
        <f>+E9/C9</f>
        <v>0</v>
      </c>
      <c r="G9" s="20"/>
    </row>
    <row r="10" spans="1:7" ht="14.45" x14ac:dyDescent="0.3">
      <c r="A10" s="1">
        <v>41122</v>
      </c>
      <c r="B10" s="1"/>
      <c r="C10" s="19">
        <v>7</v>
      </c>
      <c r="D10" s="40"/>
      <c r="E10" s="22">
        <v>4</v>
      </c>
      <c r="F10" s="20">
        <f t="shared" si="0"/>
        <v>0.5714285714285714</v>
      </c>
      <c r="G10" s="20"/>
    </row>
    <row r="11" spans="1:7" ht="14.45" x14ac:dyDescent="0.3">
      <c r="A11" s="1">
        <v>41153</v>
      </c>
      <c r="B11" s="1"/>
      <c r="C11" s="19">
        <v>2</v>
      </c>
      <c r="D11" s="40"/>
      <c r="E11" s="22">
        <v>1</v>
      </c>
      <c r="F11" s="20">
        <f t="shared" si="0"/>
        <v>0.5</v>
      </c>
      <c r="G11" s="20"/>
    </row>
    <row r="12" spans="1:7" ht="14.45" x14ac:dyDescent="0.3">
      <c r="A12" s="1">
        <v>41183</v>
      </c>
      <c r="B12" s="1"/>
      <c r="C12" s="19">
        <v>5</v>
      </c>
      <c r="D12" s="40"/>
      <c r="E12" s="22">
        <v>1</v>
      </c>
      <c r="F12" s="20">
        <f t="shared" si="0"/>
        <v>0.2</v>
      </c>
      <c r="G12" s="20"/>
    </row>
    <row r="13" spans="1:7" ht="14.45" x14ac:dyDescent="0.3">
      <c r="A13" s="1">
        <v>41214</v>
      </c>
      <c r="C13" s="22">
        <v>2</v>
      </c>
      <c r="D13" s="41"/>
      <c r="E13" s="22">
        <v>1</v>
      </c>
      <c r="F13" s="20">
        <f t="shared" si="0"/>
        <v>0.5</v>
      </c>
      <c r="G13" s="41"/>
    </row>
    <row r="14" spans="1:7" ht="14.45" x14ac:dyDescent="0.3">
      <c r="A14" s="1">
        <v>41244</v>
      </c>
      <c r="C14" s="41">
        <v>1</v>
      </c>
      <c r="D14" s="41"/>
      <c r="E14" s="41">
        <v>1</v>
      </c>
      <c r="F14" s="20">
        <f t="shared" ref="F14:F34" si="1">+E14/C14</f>
        <v>1</v>
      </c>
    </row>
    <row r="15" spans="1:7" ht="14.45" x14ac:dyDescent="0.3">
      <c r="A15" s="1">
        <v>41275</v>
      </c>
      <c r="C15" s="18">
        <v>0</v>
      </c>
      <c r="E15" s="18">
        <v>0</v>
      </c>
      <c r="F15" s="20">
        <v>0</v>
      </c>
    </row>
    <row r="16" spans="1:7" ht="14.45" x14ac:dyDescent="0.3">
      <c r="A16" s="1">
        <v>41306</v>
      </c>
      <c r="C16" s="18">
        <v>4</v>
      </c>
      <c r="E16" s="18">
        <v>1</v>
      </c>
      <c r="F16" s="20">
        <f t="shared" si="1"/>
        <v>0.25</v>
      </c>
    </row>
    <row r="17" spans="1:6" ht="14.45" x14ac:dyDescent="0.3">
      <c r="A17" s="1">
        <v>41334</v>
      </c>
      <c r="C17" s="18">
        <v>11</v>
      </c>
      <c r="E17" s="18">
        <v>4</v>
      </c>
      <c r="F17" s="20">
        <f t="shared" si="1"/>
        <v>0.36363636363636365</v>
      </c>
    </row>
    <row r="18" spans="1:6" ht="14.45" x14ac:dyDescent="0.3">
      <c r="A18" s="1">
        <v>41365</v>
      </c>
      <c r="C18" s="39">
        <v>3</v>
      </c>
      <c r="E18" s="39">
        <v>0</v>
      </c>
      <c r="F18" s="20">
        <f t="shared" si="1"/>
        <v>0</v>
      </c>
    </row>
    <row r="19" spans="1:6" ht="14.45" x14ac:dyDescent="0.3">
      <c r="A19" s="1">
        <v>41395</v>
      </c>
      <c r="C19" s="18">
        <v>4</v>
      </c>
      <c r="E19" s="18">
        <v>1</v>
      </c>
      <c r="F19" s="20">
        <f t="shared" si="1"/>
        <v>0.25</v>
      </c>
    </row>
    <row r="20" spans="1:6" ht="14.45" x14ac:dyDescent="0.3">
      <c r="A20" s="1">
        <v>41426</v>
      </c>
      <c r="C20" s="39">
        <v>7</v>
      </c>
      <c r="E20" s="39">
        <v>0</v>
      </c>
      <c r="F20" s="20">
        <f t="shared" si="1"/>
        <v>0</v>
      </c>
    </row>
    <row r="21" spans="1:6" ht="14.45" x14ac:dyDescent="0.3">
      <c r="A21" s="1">
        <v>41456</v>
      </c>
      <c r="C21" s="39">
        <v>1</v>
      </c>
      <c r="E21" s="39">
        <v>1</v>
      </c>
      <c r="F21" s="20">
        <f t="shared" si="1"/>
        <v>1</v>
      </c>
    </row>
    <row r="22" spans="1:6" x14ac:dyDescent="0.25">
      <c r="A22" s="1">
        <v>41487</v>
      </c>
      <c r="C22" s="39">
        <v>6</v>
      </c>
      <c r="E22" s="39">
        <v>1</v>
      </c>
      <c r="F22" s="20">
        <f t="shared" si="1"/>
        <v>0.16666666666666666</v>
      </c>
    </row>
    <row r="23" spans="1:6" x14ac:dyDescent="0.25">
      <c r="A23" s="1">
        <v>41518</v>
      </c>
      <c r="C23" s="39">
        <v>1</v>
      </c>
      <c r="E23" s="39">
        <v>0</v>
      </c>
      <c r="F23" s="20">
        <f t="shared" si="1"/>
        <v>0</v>
      </c>
    </row>
    <row r="24" spans="1:6" x14ac:dyDescent="0.25">
      <c r="A24" s="1">
        <v>41548</v>
      </c>
      <c r="C24" s="39">
        <v>4</v>
      </c>
      <c r="E24" s="39">
        <v>0</v>
      </c>
      <c r="F24" s="20">
        <f t="shared" si="1"/>
        <v>0</v>
      </c>
    </row>
    <row r="25" spans="1:6" x14ac:dyDescent="0.25">
      <c r="A25" s="1">
        <v>41579</v>
      </c>
      <c r="C25" s="39">
        <v>1</v>
      </c>
      <c r="E25" s="39">
        <v>0</v>
      </c>
      <c r="F25" s="20">
        <f t="shared" si="1"/>
        <v>0</v>
      </c>
    </row>
    <row r="26" spans="1:6" x14ac:dyDescent="0.25">
      <c r="A26" s="1">
        <v>41609</v>
      </c>
      <c r="C26" s="39">
        <v>1</v>
      </c>
      <c r="E26" s="39">
        <v>0</v>
      </c>
      <c r="F26" s="20">
        <f t="shared" si="1"/>
        <v>0</v>
      </c>
    </row>
    <row r="27" spans="1:6" x14ac:dyDescent="0.25">
      <c r="A27" s="1">
        <v>41640</v>
      </c>
      <c r="C27" s="39">
        <v>0</v>
      </c>
      <c r="E27" s="39">
        <v>0</v>
      </c>
      <c r="F27" s="20" t="e">
        <f t="shared" si="1"/>
        <v>#DIV/0!</v>
      </c>
    </row>
    <row r="28" spans="1:6" x14ac:dyDescent="0.25">
      <c r="A28" s="1">
        <v>41671</v>
      </c>
      <c r="C28" s="39">
        <v>1</v>
      </c>
      <c r="E28" s="39">
        <v>0</v>
      </c>
      <c r="F28" s="20">
        <f t="shared" si="1"/>
        <v>0</v>
      </c>
    </row>
    <row r="29" spans="1:6" x14ac:dyDescent="0.25">
      <c r="A29" s="1">
        <v>41699</v>
      </c>
      <c r="C29" s="39">
        <v>0</v>
      </c>
      <c r="E29" s="39">
        <v>0</v>
      </c>
      <c r="F29" s="20" t="e">
        <f t="shared" si="1"/>
        <v>#DIV/0!</v>
      </c>
    </row>
    <row r="30" spans="1:6" x14ac:dyDescent="0.25">
      <c r="A30" s="1">
        <v>41730</v>
      </c>
      <c r="C30" s="39">
        <v>2</v>
      </c>
      <c r="E30" s="39">
        <v>0</v>
      </c>
      <c r="F30" s="20">
        <f t="shared" si="1"/>
        <v>0</v>
      </c>
    </row>
    <row r="31" spans="1:6" x14ac:dyDescent="0.25">
      <c r="A31" s="1">
        <v>41760</v>
      </c>
      <c r="C31" s="39">
        <v>0</v>
      </c>
      <c r="E31" s="39">
        <v>0</v>
      </c>
      <c r="F31" s="20" t="e">
        <f t="shared" si="1"/>
        <v>#DIV/0!</v>
      </c>
    </row>
    <row r="32" spans="1:6" x14ac:dyDescent="0.25">
      <c r="A32" s="1">
        <v>41791</v>
      </c>
      <c r="C32" s="39">
        <v>1</v>
      </c>
      <c r="E32" s="39">
        <v>0</v>
      </c>
      <c r="F32" s="20">
        <f t="shared" si="1"/>
        <v>0</v>
      </c>
    </row>
    <row r="33" spans="1:18" x14ac:dyDescent="0.25">
      <c r="A33" s="1">
        <v>41821</v>
      </c>
      <c r="C33" s="39">
        <v>3</v>
      </c>
      <c r="E33" s="39">
        <v>0</v>
      </c>
      <c r="F33" s="20">
        <f t="shared" si="1"/>
        <v>0</v>
      </c>
    </row>
    <row r="34" spans="1:18" x14ac:dyDescent="0.25">
      <c r="A34" s="1">
        <v>41852</v>
      </c>
      <c r="C34" s="39">
        <v>4</v>
      </c>
      <c r="E34" s="39">
        <v>1</v>
      </c>
      <c r="F34" s="20">
        <f t="shared" si="1"/>
        <v>0.25</v>
      </c>
    </row>
    <row r="35" spans="1:18" x14ac:dyDescent="0.25">
      <c r="A35" s="1"/>
      <c r="C35" s="39"/>
      <c r="E35" s="39"/>
      <c r="F35" s="20"/>
    </row>
    <row r="36" spans="1:18" ht="45" x14ac:dyDescent="0.25">
      <c r="A36" s="3"/>
      <c r="B36" s="11" t="s">
        <v>6</v>
      </c>
      <c r="C36" s="48" t="s">
        <v>56</v>
      </c>
      <c r="D36" s="48" t="s">
        <v>57</v>
      </c>
      <c r="E36" s="11" t="s">
        <v>8</v>
      </c>
      <c r="F36" s="48" t="s">
        <v>56</v>
      </c>
      <c r="G36" s="48" t="s">
        <v>57</v>
      </c>
      <c r="H36" s="11" t="s">
        <v>9</v>
      </c>
      <c r="I36" s="48" t="s">
        <v>56</v>
      </c>
      <c r="J36" s="48" t="s">
        <v>57</v>
      </c>
      <c r="K36" s="11" t="s">
        <v>10</v>
      </c>
      <c r="L36" s="48" t="s">
        <v>56</v>
      </c>
      <c r="M36" s="48" t="s">
        <v>57</v>
      </c>
      <c r="N36" s="11" t="s">
        <v>11</v>
      </c>
      <c r="O36" s="48" t="s">
        <v>56</v>
      </c>
      <c r="P36" s="48" t="s">
        <v>57</v>
      </c>
      <c r="Q36" s="11" t="s">
        <v>12</v>
      </c>
      <c r="R36" s="48" t="s">
        <v>191</v>
      </c>
    </row>
    <row r="37" spans="1:18" x14ac:dyDescent="0.25">
      <c r="A37" s="13">
        <v>40817</v>
      </c>
      <c r="B37" s="8">
        <v>0.9</v>
      </c>
      <c r="C37" s="45" t="s">
        <v>176</v>
      </c>
      <c r="D37" s="45" t="s">
        <v>172</v>
      </c>
      <c r="E37" s="8">
        <f>D37/C37</f>
        <v>0.53333333333333333</v>
      </c>
      <c r="F37" s="45"/>
      <c r="G37" s="45"/>
      <c r="H37" s="8" t="s">
        <v>52</v>
      </c>
      <c r="I37" s="45"/>
      <c r="J37" s="45"/>
      <c r="K37" s="8">
        <v>0</v>
      </c>
      <c r="L37" s="45"/>
      <c r="M37" s="45"/>
      <c r="N37" s="8">
        <v>0.4</v>
      </c>
      <c r="O37" s="47"/>
      <c r="P37" s="47"/>
      <c r="Q37" s="8">
        <v>0.7</v>
      </c>
    </row>
    <row r="38" spans="1:18" x14ac:dyDescent="0.25">
      <c r="A38" s="13">
        <v>40848</v>
      </c>
      <c r="B38" s="8">
        <v>0.9</v>
      </c>
      <c r="C38" s="45" t="s">
        <v>172</v>
      </c>
      <c r="D38" s="45" t="s">
        <v>91</v>
      </c>
      <c r="E38" s="8">
        <f t="shared" ref="E38:E53" si="2">D38/C38</f>
        <v>0.5</v>
      </c>
      <c r="F38" s="45"/>
      <c r="G38" s="45"/>
      <c r="H38" s="8" t="s">
        <v>52</v>
      </c>
      <c r="I38" s="45"/>
      <c r="J38" s="45"/>
      <c r="K38" s="8">
        <v>0</v>
      </c>
      <c r="L38" s="45"/>
      <c r="M38" s="45"/>
      <c r="N38" s="8">
        <v>0.35</v>
      </c>
      <c r="O38" s="47"/>
      <c r="P38" s="47"/>
      <c r="Q38" s="8">
        <v>0.56999999999999995</v>
      </c>
    </row>
    <row r="39" spans="1:18" x14ac:dyDescent="0.25">
      <c r="A39" s="13">
        <v>40878</v>
      </c>
      <c r="B39" s="8">
        <v>0.9</v>
      </c>
      <c r="C39" s="45" t="s">
        <v>88</v>
      </c>
      <c r="D39" s="45" t="s">
        <v>173</v>
      </c>
      <c r="E39" s="8">
        <f t="shared" si="2"/>
        <v>0.6</v>
      </c>
      <c r="F39" s="45"/>
      <c r="G39" s="45"/>
      <c r="H39" s="8" t="s">
        <v>52</v>
      </c>
      <c r="I39" s="45"/>
      <c r="J39" s="45"/>
      <c r="K39" s="8">
        <v>0</v>
      </c>
      <c r="L39" s="45"/>
      <c r="M39" s="45"/>
      <c r="N39" s="8">
        <v>0.45</v>
      </c>
      <c r="O39" s="47"/>
      <c r="P39" s="47"/>
      <c r="Q39" s="8">
        <v>0.6</v>
      </c>
    </row>
    <row r="40" spans="1:18" x14ac:dyDescent="0.25">
      <c r="A40" s="13">
        <v>40909</v>
      </c>
      <c r="B40" s="8">
        <v>0.9</v>
      </c>
      <c r="C40" s="45" t="s">
        <v>101</v>
      </c>
      <c r="D40" s="45" t="s">
        <v>101</v>
      </c>
      <c r="E40" s="8">
        <f t="shared" si="2"/>
        <v>1</v>
      </c>
      <c r="F40" s="45"/>
      <c r="G40" s="45"/>
      <c r="H40" s="8" t="s">
        <v>52</v>
      </c>
      <c r="I40" s="45"/>
      <c r="J40" s="45"/>
      <c r="K40" s="8" t="s">
        <v>52</v>
      </c>
      <c r="L40" s="45"/>
      <c r="M40" s="45"/>
      <c r="N40" s="8" t="s">
        <v>52</v>
      </c>
      <c r="O40" s="47"/>
      <c r="P40" s="47"/>
      <c r="Q40" s="8">
        <v>1</v>
      </c>
    </row>
    <row r="41" spans="1:18" x14ac:dyDescent="0.25">
      <c r="A41" s="13">
        <v>40940</v>
      </c>
      <c r="B41" s="8">
        <v>0.9</v>
      </c>
      <c r="C41" s="45" t="s">
        <v>174</v>
      </c>
      <c r="D41" s="45" t="s">
        <v>174</v>
      </c>
      <c r="E41" s="8">
        <v>0</v>
      </c>
      <c r="F41" s="45"/>
      <c r="G41" s="45"/>
      <c r="H41" s="8" t="s">
        <v>52</v>
      </c>
      <c r="I41" s="45"/>
      <c r="J41" s="45"/>
      <c r="K41" s="8" t="s">
        <v>52</v>
      </c>
      <c r="L41" s="45"/>
      <c r="M41" s="45"/>
      <c r="N41" s="8" t="s">
        <v>52</v>
      </c>
      <c r="O41" s="47"/>
      <c r="P41" s="47"/>
      <c r="Q41" s="8" t="s">
        <v>52</v>
      </c>
    </row>
    <row r="42" spans="1:18" x14ac:dyDescent="0.25">
      <c r="A42" s="13">
        <v>40969</v>
      </c>
      <c r="B42" s="8">
        <v>0.9</v>
      </c>
      <c r="C42" s="45" t="s">
        <v>174</v>
      </c>
      <c r="D42" s="45" t="s">
        <v>174</v>
      </c>
      <c r="E42" s="8">
        <v>0</v>
      </c>
      <c r="F42" s="45"/>
      <c r="G42" s="45"/>
      <c r="H42" s="8" t="s">
        <v>52</v>
      </c>
      <c r="I42" s="45"/>
      <c r="J42" s="45"/>
      <c r="K42" s="8" t="s">
        <v>52</v>
      </c>
      <c r="L42" s="45"/>
      <c r="M42" s="45"/>
      <c r="N42" s="8" t="s">
        <v>52</v>
      </c>
      <c r="O42" s="47"/>
      <c r="P42" s="47"/>
      <c r="Q42" s="8" t="s">
        <v>52</v>
      </c>
    </row>
    <row r="43" spans="1:18" x14ac:dyDescent="0.25">
      <c r="A43" s="13">
        <v>41000</v>
      </c>
      <c r="B43" s="8">
        <v>0.9</v>
      </c>
      <c r="C43" s="45" t="s">
        <v>175</v>
      </c>
      <c r="D43" s="45" t="s">
        <v>172</v>
      </c>
      <c r="E43" s="8">
        <f t="shared" si="2"/>
        <v>0.66666666666666663</v>
      </c>
      <c r="F43" s="45" t="s">
        <v>101</v>
      </c>
      <c r="G43" s="45" t="s">
        <v>174</v>
      </c>
      <c r="H43" s="8">
        <f>G43/F43</f>
        <v>0</v>
      </c>
      <c r="I43" s="45" t="s">
        <v>102</v>
      </c>
      <c r="J43" s="45" t="s">
        <v>101</v>
      </c>
      <c r="K43" s="8">
        <f>J43/I43</f>
        <v>0.5</v>
      </c>
      <c r="L43" s="45" t="s">
        <v>101</v>
      </c>
      <c r="M43" s="45" t="s">
        <v>101</v>
      </c>
      <c r="N43" s="8">
        <f>M43/L43</f>
        <v>1</v>
      </c>
      <c r="O43" s="50" t="s">
        <v>172</v>
      </c>
      <c r="P43" s="50" t="s">
        <v>173</v>
      </c>
      <c r="Q43" s="8">
        <f t="shared" ref="Q43:Q53" si="3">P43/O43</f>
        <v>0.75</v>
      </c>
    </row>
    <row r="44" spans="1:18" x14ac:dyDescent="0.25">
      <c r="A44" s="13">
        <v>41030</v>
      </c>
      <c r="B44" s="8">
        <v>0.9</v>
      </c>
      <c r="C44" s="54">
        <v>11</v>
      </c>
      <c r="D44" s="54">
        <v>2</v>
      </c>
      <c r="E44" s="8">
        <f t="shared" si="2"/>
        <v>0.18181818181818182</v>
      </c>
      <c r="F44" s="45" t="s">
        <v>174</v>
      </c>
      <c r="G44" s="45" t="s">
        <v>174</v>
      </c>
      <c r="H44" s="8">
        <v>0</v>
      </c>
      <c r="I44" s="54">
        <v>1</v>
      </c>
      <c r="J44" s="54">
        <v>0</v>
      </c>
      <c r="K44" s="8">
        <v>0</v>
      </c>
      <c r="L44" s="45" t="s">
        <v>174</v>
      </c>
      <c r="M44" s="45" t="s">
        <v>174</v>
      </c>
      <c r="N44" s="8">
        <f>-N45-N45</f>
        <v>0</v>
      </c>
      <c r="O44" s="55">
        <v>10</v>
      </c>
      <c r="P44" s="55">
        <v>2</v>
      </c>
      <c r="Q44" s="8">
        <f t="shared" si="3"/>
        <v>0.2</v>
      </c>
    </row>
    <row r="45" spans="1:18" x14ac:dyDescent="0.25">
      <c r="A45" s="13">
        <v>41061</v>
      </c>
      <c r="B45" s="8">
        <v>0.9</v>
      </c>
      <c r="C45" s="90">
        <f>F45+I45+L45+O45</f>
        <v>6</v>
      </c>
      <c r="D45" s="90">
        <f>G45+J45+M45+P45</f>
        <v>4</v>
      </c>
      <c r="E45" s="8">
        <f t="shared" si="2"/>
        <v>0.66666666666666663</v>
      </c>
      <c r="F45" s="45" t="s">
        <v>174</v>
      </c>
      <c r="G45" s="45" t="s">
        <v>174</v>
      </c>
      <c r="H45" s="8">
        <v>0</v>
      </c>
      <c r="I45" s="45" t="s">
        <v>101</v>
      </c>
      <c r="J45" s="45" t="s">
        <v>174</v>
      </c>
      <c r="K45" s="8">
        <v>0</v>
      </c>
      <c r="L45" s="45" t="s">
        <v>174</v>
      </c>
      <c r="M45" s="45" t="s">
        <v>174</v>
      </c>
      <c r="N45" s="8">
        <f>-N46-N46</f>
        <v>0</v>
      </c>
      <c r="O45" s="50" t="s">
        <v>90</v>
      </c>
      <c r="P45" s="50" t="s">
        <v>91</v>
      </c>
      <c r="Q45" s="8">
        <f t="shared" si="3"/>
        <v>0.8</v>
      </c>
      <c r="R45">
        <v>0</v>
      </c>
    </row>
    <row r="46" spans="1:18" x14ac:dyDescent="0.25">
      <c r="A46" s="13">
        <v>41091</v>
      </c>
      <c r="B46" s="8">
        <v>0.9</v>
      </c>
      <c r="C46" s="45" t="s">
        <v>252</v>
      </c>
      <c r="D46" s="45" t="s">
        <v>91</v>
      </c>
      <c r="E46" s="8">
        <f t="shared" si="2"/>
        <v>0.5714285714285714</v>
      </c>
      <c r="F46" s="45" t="s">
        <v>174</v>
      </c>
      <c r="G46" s="45" t="s">
        <v>174</v>
      </c>
      <c r="H46" s="8">
        <v>0</v>
      </c>
      <c r="I46" s="45" t="s">
        <v>102</v>
      </c>
      <c r="J46" s="45" t="s">
        <v>174</v>
      </c>
      <c r="K46" s="8">
        <v>0</v>
      </c>
      <c r="L46" s="45" t="s">
        <v>102</v>
      </c>
      <c r="M46" s="45" t="s">
        <v>102</v>
      </c>
      <c r="N46" s="8">
        <f>-N47-N47</f>
        <v>0</v>
      </c>
      <c r="O46" s="50" t="s">
        <v>100</v>
      </c>
      <c r="P46" s="50" t="s">
        <v>102</v>
      </c>
      <c r="Q46" s="8">
        <f t="shared" si="3"/>
        <v>0.66666666666666663</v>
      </c>
      <c r="R46">
        <v>10</v>
      </c>
    </row>
    <row r="47" spans="1:18" x14ac:dyDescent="0.25">
      <c r="A47" s="13">
        <v>41122</v>
      </c>
      <c r="B47" s="8">
        <v>0.9</v>
      </c>
      <c r="C47" s="45" t="s">
        <v>253</v>
      </c>
      <c r="D47" s="45" t="s">
        <v>252</v>
      </c>
      <c r="E47" s="8">
        <f t="shared" si="2"/>
        <v>0.77777777777777779</v>
      </c>
      <c r="F47" s="45" t="s">
        <v>174</v>
      </c>
      <c r="G47" s="45" t="s">
        <v>174</v>
      </c>
      <c r="H47" s="8">
        <v>0</v>
      </c>
      <c r="I47" s="45" t="s">
        <v>174</v>
      </c>
      <c r="J47" s="45" t="s">
        <v>174</v>
      </c>
      <c r="K47" s="8">
        <v>0</v>
      </c>
      <c r="L47" s="45" t="s">
        <v>101</v>
      </c>
      <c r="M47" s="45" t="s">
        <v>174</v>
      </c>
      <c r="N47" s="8">
        <f>-N48-N48</f>
        <v>0</v>
      </c>
      <c r="O47" s="50" t="s">
        <v>172</v>
      </c>
      <c r="P47" s="50" t="s">
        <v>252</v>
      </c>
      <c r="Q47" s="8">
        <f t="shared" si="3"/>
        <v>0.875</v>
      </c>
      <c r="R47">
        <v>2</v>
      </c>
    </row>
    <row r="48" spans="1:18" x14ac:dyDescent="0.25">
      <c r="A48" s="13">
        <v>41153</v>
      </c>
      <c r="B48" s="8">
        <v>0.9</v>
      </c>
      <c r="C48" s="45" t="s">
        <v>175</v>
      </c>
      <c r="D48" s="45" t="s">
        <v>172</v>
      </c>
      <c r="E48" s="8">
        <f t="shared" si="2"/>
        <v>0.66666666666666663</v>
      </c>
      <c r="F48" s="45" t="s">
        <v>101</v>
      </c>
      <c r="G48" s="45" t="s">
        <v>174</v>
      </c>
      <c r="H48" s="8">
        <v>0</v>
      </c>
      <c r="I48" s="45" t="s">
        <v>174</v>
      </c>
      <c r="J48" s="45" t="s">
        <v>174</v>
      </c>
      <c r="K48" s="8">
        <v>0</v>
      </c>
      <c r="L48" s="45" t="s">
        <v>101</v>
      </c>
      <c r="M48" s="45" t="s">
        <v>101</v>
      </c>
      <c r="N48" s="8">
        <f>-N49-N49</f>
        <v>0</v>
      </c>
      <c r="O48" s="50" t="s">
        <v>88</v>
      </c>
      <c r="P48" s="50" t="s">
        <v>252</v>
      </c>
      <c r="Q48" s="8">
        <f t="shared" si="3"/>
        <v>0.7</v>
      </c>
      <c r="R48">
        <v>0</v>
      </c>
    </row>
    <row r="49" spans="1:18" x14ac:dyDescent="0.25">
      <c r="A49" s="13">
        <v>41183</v>
      </c>
      <c r="B49" s="8">
        <v>0.9</v>
      </c>
      <c r="C49" s="45" t="s">
        <v>252</v>
      </c>
      <c r="D49" s="45" t="s">
        <v>90</v>
      </c>
      <c r="E49" s="8">
        <f t="shared" si="2"/>
        <v>0.7142857142857143</v>
      </c>
      <c r="F49" s="45" t="s">
        <v>174</v>
      </c>
      <c r="G49" s="45" t="s">
        <v>174</v>
      </c>
      <c r="H49" s="8">
        <v>0</v>
      </c>
      <c r="I49" s="45" t="s">
        <v>101</v>
      </c>
      <c r="J49" s="45" t="s">
        <v>101</v>
      </c>
      <c r="K49" s="8">
        <f>J49/I49</f>
        <v>1</v>
      </c>
      <c r="L49" s="45" t="s">
        <v>174</v>
      </c>
      <c r="M49" s="45" t="s">
        <v>174</v>
      </c>
      <c r="N49" s="8">
        <v>0</v>
      </c>
      <c r="O49" s="50" t="s">
        <v>173</v>
      </c>
      <c r="P49" s="50" t="s">
        <v>91</v>
      </c>
      <c r="Q49" s="8">
        <f t="shared" si="3"/>
        <v>0.66666666666666663</v>
      </c>
      <c r="R49">
        <v>0</v>
      </c>
    </row>
    <row r="50" spans="1:18" x14ac:dyDescent="0.25">
      <c r="A50" s="13">
        <v>41214</v>
      </c>
      <c r="B50" s="8">
        <v>0.9</v>
      </c>
      <c r="C50" s="45" t="s">
        <v>175</v>
      </c>
      <c r="D50" s="45" t="s">
        <v>172</v>
      </c>
      <c r="E50" s="8">
        <f t="shared" si="2"/>
        <v>0.66666666666666663</v>
      </c>
      <c r="F50" s="45" t="s">
        <v>174</v>
      </c>
      <c r="G50" s="45" t="s">
        <v>174</v>
      </c>
      <c r="H50" s="8">
        <v>0</v>
      </c>
      <c r="I50" s="45" t="s">
        <v>174</v>
      </c>
      <c r="J50" s="45" t="s">
        <v>174</v>
      </c>
      <c r="K50" s="8">
        <v>0</v>
      </c>
      <c r="L50" s="45" t="s">
        <v>101</v>
      </c>
      <c r="M50" s="45" t="s">
        <v>174</v>
      </c>
      <c r="N50" s="8">
        <v>0</v>
      </c>
      <c r="O50" s="50" t="s">
        <v>74</v>
      </c>
      <c r="P50" s="50" t="s">
        <v>172</v>
      </c>
      <c r="Q50" s="8">
        <f t="shared" si="3"/>
        <v>0.72727272727272729</v>
      </c>
      <c r="R50">
        <v>0</v>
      </c>
    </row>
    <row r="51" spans="1:18" x14ac:dyDescent="0.25">
      <c r="A51" s="13">
        <v>41244</v>
      </c>
      <c r="B51" s="8">
        <v>0.9</v>
      </c>
      <c r="C51" s="145">
        <v>6</v>
      </c>
      <c r="D51" s="145">
        <v>5</v>
      </c>
      <c r="E51" s="8">
        <f t="shared" si="2"/>
        <v>0.83333333333333337</v>
      </c>
      <c r="F51" s="145">
        <v>0</v>
      </c>
      <c r="G51" s="145">
        <v>0</v>
      </c>
      <c r="H51" s="8">
        <v>0</v>
      </c>
      <c r="I51" s="145">
        <v>0</v>
      </c>
      <c r="J51" s="145">
        <v>0</v>
      </c>
      <c r="K51" s="8">
        <v>0</v>
      </c>
      <c r="L51" s="145">
        <v>0</v>
      </c>
      <c r="M51" s="145">
        <v>0</v>
      </c>
      <c r="N51" s="8">
        <v>0</v>
      </c>
      <c r="O51" s="55">
        <v>6</v>
      </c>
      <c r="P51" s="55">
        <v>5</v>
      </c>
      <c r="Q51" s="8">
        <f t="shared" si="3"/>
        <v>0.83333333333333337</v>
      </c>
      <c r="R51">
        <v>0</v>
      </c>
    </row>
    <row r="52" spans="1:18" x14ac:dyDescent="0.25">
      <c r="A52" s="13">
        <v>41275</v>
      </c>
      <c r="B52" s="8">
        <v>0.9</v>
      </c>
      <c r="C52" s="145">
        <v>9</v>
      </c>
      <c r="D52" s="145">
        <v>8</v>
      </c>
      <c r="E52" s="8">
        <f t="shared" si="2"/>
        <v>0.88888888888888884</v>
      </c>
      <c r="F52" s="145">
        <v>0</v>
      </c>
      <c r="G52" s="145">
        <v>0</v>
      </c>
      <c r="H52" s="8">
        <v>0</v>
      </c>
      <c r="I52" s="145">
        <v>1</v>
      </c>
      <c r="J52" s="145">
        <v>1</v>
      </c>
      <c r="K52" s="8">
        <v>1</v>
      </c>
      <c r="L52" s="145">
        <v>0</v>
      </c>
      <c r="M52" s="145">
        <v>0</v>
      </c>
      <c r="N52" s="8">
        <v>0</v>
      </c>
      <c r="O52" s="55">
        <v>8</v>
      </c>
      <c r="P52" s="55">
        <v>7</v>
      </c>
      <c r="Q52" s="8">
        <f t="shared" si="3"/>
        <v>0.875</v>
      </c>
      <c r="R52" s="165">
        <v>0</v>
      </c>
    </row>
    <row r="53" spans="1:18" x14ac:dyDescent="0.25">
      <c r="A53" s="13">
        <v>41306</v>
      </c>
      <c r="B53" s="8">
        <v>0.9</v>
      </c>
      <c r="C53" s="145">
        <v>5</v>
      </c>
      <c r="D53" s="145">
        <v>4</v>
      </c>
      <c r="E53" s="8">
        <f t="shared" si="2"/>
        <v>0.8</v>
      </c>
      <c r="F53" s="145">
        <v>0</v>
      </c>
      <c r="G53" s="145">
        <v>0</v>
      </c>
      <c r="H53" s="8">
        <v>0</v>
      </c>
      <c r="I53" s="145">
        <v>0</v>
      </c>
      <c r="J53" s="145">
        <v>0</v>
      </c>
      <c r="K53" s="8">
        <v>0</v>
      </c>
      <c r="L53" s="145">
        <v>0</v>
      </c>
      <c r="M53" s="145">
        <v>0</v>
      </c>
      <c r="N53" s="8">
        <v>0</v>
      </c>
      <c r="O53" s="55">
        <v>5</v>
      </c>
      <c r="P53" s="55">
        <v>4</v>
      </c>
      <c r="Q53" s="8">
        <f t="shared" si="3"/>
        <v>0.8</v>
      </c>
      <c r="R53" s="165">
        <v>0</v>
      </c>
    </row>
    <row r="54" spans="1:18" x14ac:dyDescent="0.25">
      <c r="A54" s="13">
        <v>41334</v>
      </c>
      <c r="B54" s="8">
        <v>0.9</v>
      </c>
      <c r="C54" s="145">
        <v>47</v>
      </c>
      <c r="D54" s="145">
        <v>7</v>
      </c>
      <c r="E54" s="8">
        <f t="shared" ref="E54:E62" si="4">D54/C54</f>
        <v>0.14893617021276595</v>
      </c>
      <c r="F54" s="145">
        <v>1</v>
      </c>
      <c r="G54" s="145">
        <v>0</v>
      </c>
      <c r="H54" s="8">
        <v>0</v>
      </c>
      <c r="I54" s="145">
        <v>1</v>
      </c>
      <c r="J54" s="145">
        <v>0</v>
      </c>
      <c r="K54" s="8">
        <v>0</v>
      </c>
      <c r="L54" s="145">
        <v>1</v>
      </c>
      <c r="M54" s="145">
        <v>1</v>
      </c>
      <c r="N54" s="8">
        <v>1</v>
      </c>
      <c r="O54" s="55">
        <v>44</v>
      </c>
      <c r="P54" s="55">
        <v>6</v>
      </c>
      <c r="Q54" s="8">
        <f t="shared" ref="Q54:Q71" si="5">P54/O54</f>
        <v>0.13636363636363635</v>
      </c>
      <c r="R54" s="165">
        <v>1</v>
      </c>
    </row>
    <row r="55" spans="1:18" x14ac:dyDescent="0.25">
      <c r="A55" s="13">
        <v>41365</v>
      </c>
      <c r="B55" s="8">
        <v>0.9</v>
      </c>
      <c r="C55" s="46" t="s">
        <v>213</v>
      </c>
      <c r="D55" s="46" t="s">
        <v>75</v>
      </c>
      <c r="E55" s="8">
        <f t="shared" si="4"/>
        <v>0.82352941176470584</v>
      </c>
      <c r="F55" s="46" t="s">
        <v>174</v>
      </c>
      <c r="G55" s="46" t="s">
        <v>174</v>
      </c>
      <c r="H55" s="8">
        <v>0</v>
      </c>
      <c r="I55" s="46" t="s">
        <v>101</v>
      </c>
      <c r="J55" s="46" t="s">
        <v>101</v>
      </c>
      <c r="K55" s="8">
        <v>0</v>
      </c>
      <c r="L55" s="46" t="s">
        <v>101</v>
      </c>
      <c r="M55" s="46" t="s">
        <v>101</v>
      </c>
      <c r="N55" s="8">
        <v>1</v>
      </c>
      <c r="O55" s="50" t="s">
        <v>176</v>
      </c>
      <c r="P55" s="50" t="s">
        <v>175</v>
      </c>
      <c r="Q55" s="8">
        <f t="shared" si="5"/>
        <v>0.8</v>
      </c>
      <c r="R55" s="165">
        <v>3</v>
      </c>
    </row>
    <row r="56" spans="1:18" x14ac:dyDescent="0.25">
      <c r="A56" s="13">
        <v>41395</v>
      </c>
      <c r="B56" s="8">
        <v>0.9</v>
      </c>
      <c r="C56" s="46" t="s">
        <v>75</v>
      </c>
      <c r="D56" s="46" t="s">
        <v>175</v>
      </c>
      <c r="E56" s="8">
        <f t="shared" si="4"/>
        <v>0.8571428571428571</v>
      </c>
      <c r="F56" s="46" t="s">
        <v>174</v>
      </c>
      <c r="G56" s="46" t="s">
        <v>174</v>
      </c>
      <c r="H56" s="11">
        <v>0</v>
      </c>
      <c r="I56" s="46" t="s">
        <v>174</v>
      </c>
      <c r="J56" s="46" t="s">
        <v>174</v>
      </c>
      <c r="K56" s="11">
        <v>0</v>
      </c>
      <c r="L56" s="46" t="s">
        <v>102</v>
      </c>
      <c r="M56" s="46" t="s">
        <v>102</v>
      </c>
      <c r="N56" s="8">
        <v>1</v>
      </c>
      <c r="O56" s="50" t="s">
        <v>175</v>
      </c>
      <c r="P56" s="50" t="s">
        <v>88</v>
      </c>
      <c r="Q56" s="8">
        <f t="shared" si="5"/>
        <v>0.83333333333333337</v>
      </c>
      <c r="R56" s="165">
        <v>9</v>
      </c>
    </row>
    <row r="57" spans="1:18" x14ac:dyDescent="0.25">
      <c r="A57" s="13">
        <v>41426</v>
      </c>
      <c r="B57" s="8">
        <v>0.9</v>
      </c>
      <c r="C57" s="46" t="s">
        <v>439</v>
      </c>
      <c r="D57" s="46" t="s">
        <v>440</v>
      </c>
      <c r="E57" s="8">
        <f t="shared" si="4"/>
        <v>0.94594594594594594</v>
      </c>
      <c r="F57" s="46" t="s">
        <v>101</v>
      </c>
      <c r="G57" s="46" t="s">
        <v>101</v>
      </c>
      <c r="H57" s="8">
        <f t="shared" ref="H57:H71" si="6">G57/F57</f>
        <v>1</v>
      </c>
      <c r="I57" s="46" t="s">
        <v>101</v>
      </c>
      <c r="J57" s="46" t="s">
        <v>101</v>
      </c>
      <c r="K57" s="8">
        <f t="shared" ref="K57:K71" si="7">J57/I57</f>
        <v>1</v>
      </c>
      <c r="L57" s="46" t="s">
        <v>101</v>
      </c>
      <c r="M57" s="46" t="s">
        <v>101</v>
      </c>
      <c r="N57" s="8">
        <v>1</v>
      </c>
      <c r="O57" s="50" t="s">
        <v>150</v>
      </c>
      <c r="P57" s="50" t="s">
        <v>153</v>
      </c>
      <c r="Q57" s="8">
        <f t="shared" si="5"/>
        <v>0.94117647058823528</v>
      </c>
      <c r="R57" s="165">
        <v>23</v>
      </c>
    </row>
    <row r="58" spans="1:18" x14ac:dyDescent="0.25">
      <c r="A58" s="13">
        <v>41456</v>
      </c>
      <c r="B58" s="8">
        <v>0.9</v>
      </c>
      <c r="C58" s="235" t="s">
        <v>148</v>
      </c>
      <c r="D58" s="235" t="s">
        <v>148</v>
      </c>
      <c r="E58" s="8">
        <f t="shared" si="4"/>
        <v>1</v>
      </c>
      <c r="F58" s="235" t="s">
        <v>174</v>
      </c>
      <c r="G58" s="235" t="s">
        <v>174</v>
      </c>
      <c r="H58" s="8" t="e">
        <f t="shared" si="6"/>
        <v>#DIV/0!</v>
      </c>
      <c r="I58" s="235" t="s">
        <v>174</v>
      </c>
      <c r="J58" s="235" t="s">
        <v>174</v>
      </c>
      <c r="K58" s="8" t="e">
        <f t="shared" si="7"/>
        <v>#DIV/0!</v>
      </c>
      <c r="L58" s="235" t="s">
        <v>101</v>
      </c>
      <c r="M58" s="235" t="s">
        <v>101</v>
      </c>
      <c r="N58" s="8">
        <v>1</v>
      </c>
      <c r="O58" s="50" t="s">
        <v>257</v>
      </c>
      <c r="P58" s="50" t="s">
        <v>257</v>
      </c>
      <c r="Q58" s="8">
        <f t="shared" si="5"/>
        <v>1</v>
      </c>
      <c r="R58" s="165">
        <v>1</v>
      </c>
    </row>
    <row r="59" spans="1:18" x14ac:dyDescent="0.25">
      <c r="A59" s="13">
        <v>41487</v>
      </c>
      <c r="B59" s="8">
        <v>0.9</v>
      </c>
      <c r="C59" s="236" t="s">
        <v>197</v>
      </c>
      <c r="D59" s="236" t="s">
        <v>285</v>
      </c>
      <c r="E59" s="8">
        <f t="shared" si="4"/>
        <v>0.8125</v>
      </c>
      <c r="F59" s="236" t="s">
        <v>174</v>
      </c>
      <c r="G59" s="236" t="s">
        <v>174</v>
      </c>
      <c r="H59" s="8" t="e">
        <f t="shared" si="6"/>
        <v>#DIV/0!</v>
      </c>
      <c r="I59" s="236" t="s">
        <v>174</v>
      </c>
      <c r="J59" s="236" t="s">
        <v>174</v>
      </c>
      <c r="K59" s="8" t="e">
        <f t="shared" si="7"/>
        <v>#DIV/0!</v>
      </c>
      <c r="L59" s="236" t="s">
        <v>90</v>
      </c>
      <c r="M59" s="236" t="s">
        <v>90</v>
      </c>
      <c r="N59" s="8">
        <v>1</v>
      </c>
      <c r="O59" s="50" t="s">
        <v>74</v>
      </c>
      <c r="P59" s="50" t="s">
        <v>172</v>
      </c>
      <c r="Q59" s="8">
        <f t="shared" si="5"/>
        <v>0.72727272727272729</v>
      </c>
      <c r="R59" s="165">
        <v>0</v>
      </c>
    </row>
    <row r="60" spans="1:18" x14ac:dyDescent="0.25">
      <c r="A60" s="13">
        <v>41518</v>
      </c>
      <c r="B60" s="8">
        <v>0.9</v>
      </c>
      <c r="C60" s="237" t="s">
        <v>175</v>
      </c>
      <c r="D60" s="237" t="s">
        <v>173</v>
      </c>
      <c r="E60" s="8">
        <f t="shared" si="4"/>
        <v>0.5</v>
      </c>
      <c r="F60" s="237" t="s">
        <v>174</v>
      </c>
      <c r="G60" s="237" t="s">
        <v>174</v>
      </c>
      <c r="H60" s="8" t="e">
        <f t="shared" si="6"/>
        <v>#DIV/0!</v>
      </c>
      <c r="I60" s="237" t="s">
        <v>101</v>
      </c>
      <c r="J60" s="237" t="s">
        <v>101</v>
      </c>
      <c r="K60" s="8">
        <f t="shared" si="7"/>
        <v>1</v>
      </c>
      <c r="L60" s="237" t="s">
        <v>100</v>
      </c>
      <c r="M60" s="237" t="s">
        <v>174</v>
      </c>
      <c r="N60" s="8">
        <f t="shared" ref="N60:N71" si="8">M60/L60</f>
        <v>0</v>
      </c>
      <c r="O60" s="50" t="s">
        <v>172</v>
      </c>
      <c r="P60" s="50" t="s">
        <v>90</v>
      </c>
      <c r="Q60" s="8">
        <f t="shared" si="5"/>
        <v>0.625</v>
      </c>
      <c r="R60" s="165">
        <v>0</v>
      </c>
    </row>
    <row r="61" spans="1:18" x14ac:dyDescent="0.25">
      <c r="A61" s="13">
        <v>41548</v>
      </c>
      <c r="B61" s="8">
        <v>0.9</v>
      </c>
      <c r="C61" s="237" t="s">
        <v>90</v>
      </c>
      <c r="D61" s="237" t="s">
        <v>90</v>
      </c>
      <c r="E61" s="8">
        <f t="shared" si="4"/>
        <v>1</v>
      </c>
      <c r="F61" s="237" t="s">
        <v>174</v>
      </c>
      <c r="G61" s="237" t="s">
        <v>174</v>
      </c>
      <c r="H61" s="8" t="e">
        <f t="shared" si="6"/>
        <v>#DIV/0!</v>
      </c>
      <c r="I61" s="237" t="s">
        <v>101</v>
      </c>
      <c r="J61" s="237" t="s">
        <v>101</v>
      </c>
      <c r="K61" s="8">
        <f t="shared" si="7"/>
        <v>1</v>
      </c>
      <c r="L61" s="237" t="s">
        <v>101</v>
      </c>
      <c r="M61" s="237" t="s">
        <v>101</v>
      </c>
      <c r="N61" s="8">
        <f t="shared" si="8"/>
        <v>1</v>
      </c>
      <c r="O61" s="50" t="s">
        <v>100</v>
      </c>
      <c r="P61" s="50" t="s">
        <v>100</v>
      </c>
      <c r="Q61" s="8">
        <f t="shared" si="5"/>
        <v>1</v>
      </c>
      <c r="R61" s="165">
        <v>1</v>
      </c>
    </row>
    <row r="62" spans="1:18" x14ac:dyDescent="0.25">
      <c r="A62" s="13">
        <v>41579</v>
      </c>
      <c r="B62" s="8">
        <v>0.9</v>
      </c>
      <c r="C62" s="253" t="s">
        <v>173</v>
      </c>
      <c r="D62" s="253" t="s">
        <v>100</v>
      </c>
      <c r="E62" s="8">
        <f t="shared" si="4"/>
        <v>0.5</v>
      </c>
      <c r="F62" s="253" t="s">
        <v>174</v>
      </c>
      <c r="G62" s="253" t="s">
        <v>174</v>
      </c>
      <c r="H62" s="8" t="e">
        <f t="shared" si="6"/>
        <v>#DIV/0!</v>
      </c>
      <c r="I62" s="253" t="s">
        <v>174</v>
      </c>
      <c r="J62" s="253" t="s">
        <v>174</v>
      </c>
      <c r="K62" s="8" t="e">
        <f t="shared" si="7"/>
        <v>#DIV/0!</v>
      </c>
      <c r="L62" s="253" t="s">
        <v>174</v>
      </c>
      <c r="M62" s="253" t="s">
        <v>174</v>
      </c>
      <c r="N62" s="8" t="e">
        <f t="shared" si="8"/>
        <v>#DIV/0!</v>
      </c>
      <c r="O62" s="50" t="s">
        <v>173</v>
      </c>
      <c r="P62" s="50" t="s">
        <v>100</v>
      </c>
      <c r="Q62" s="8">
        <f t="shared" si="5"/>
        <v>0.5</v>
      </c>
      <c r="R62" s="165">
        <v>5</v>
      </c>
    </row>
    <row r="63" spans="1:18" x14ac:dyDescent="0.25">
      <c r="A63" s="13">
        <v>41609</v>
      </c>
      <c r="B63" s="8">
        <v>0.9</v>
      </c>
      <c r="C63" s="255" t="s">
        <v>102</v>
      </c>
      <c r="D63" s="255" t="s">
        <v>102</v>
      </c>
      <c r="E63" s="8">
        <v>1</v>
      </c>
      <c r="F63" s="255" t="s">
        <v>174</v>
      </c>
      <c r="G63" s="255" t="s">
        <v>174</v>
      </c>
      <c r="H63" s="8" t="e">
        <f t="shared" si="6"/>
        <v>#DIV/0!</v>
      </c>
      <c r="I63" s="255" t="s">
        <v>174</v>
      </c>
      <c r="J63" s="255" t="s">
        <v>174</v>
      </c>
      <c r="K63" s="8" t="e">
        <f t="shared" si="7"/>
        <v>#DIV/0!</v>
      </c>
      <c r="L63" s="255" t="s">
        <v>174</v>
      </c>
      <c r="M63" s="255" t="s">
        <v>174</v>
      </c>
      <c r="N63" s="8" t="e">
        <f t="shared" si="8"/>
        <v>#DIV/0!</v>
      </c>
      <c r="O63" s="50" t="s">
        <v>102</v>
      </c>
      <c r="P63" s="50" t="s">
        <v>102</v>
      </c>
      <c r="Q63" s="8">
        <f t="shared" si="5"/>
        <v>1</v>
      </c>
      <c r="R63" s="165">
        <v>1</v>
      </c>
    </row>
    <row r="64" spans="1:18" x14ac:dyDescent="0.25">
      <c r="A64" s="13">
        <v>41640</v>
      </c>
      <c r="B64" s="8">
        <v>0.9</v>
      </c>
      <c r="C64" s="257" t="s">
        <v>91</v>
      </c>
      <c r="D64" s="257" t="s">
        <v>91</v>
      </c>
      <c r="E64" s="8">
        <v>1</v>
      </c>
      <c r="F64" s="257" t="s">
        <v>174</v>
      </c>
      <c r="G64" s="257" t="s">
        <v>174</v>
      </c>
      <c r="H64" s="8" t="e">
        <f t="shared" si="6"/>
        <v>#DIV/0!</v>
      </c>
      <c r="I64" s="257" t="s">
        <v>174</v>
      </c>
      <c r="J64" s="257" t="s">
        <v>174</v>
      </c>
      <c r="K64" s="8" t="e">
        <f t="shared" si="7"/>
        <v>#DIV/0!</v>
      </c>
      <c r="L64" s="257" t="s">
        <v>174</v>
      </c>
      <c r="M64" s="257" t="s">
        <v>174</v>
      </c>
      <c r="N64" s="8" t="e">
        <f t="shared" si="8"/>
        <v>#DIV/0!</v>
      </c>
      <c r="O64" s="50" t="s">
        <v>91</v>
      </c>
      <c r="P64" s="50" t="s">
        <v>91</v>
      </c>
      <c r="Q64" s="8">
        <f t="shared" si="5"/>
        <v>1</v>
      </c>
      <c r="R64" s="165">
        <v>0</v>
      </c>
    </row>
    <row r="65" spans="1:18" x14ac:dyDescent="0.25">
      <c r="A65" s="13">
        <v>41671</v>
      </c>
      <c r="B65" s="8">
        <v>0.9</v>
      </c>
      <c r="C65" s="255" t="s">
        <v>102</v>
      </c>
      <c r="D65" s="255" t="s">
        <v>101</v>
      </c>
      <c r="E65" s="8">
        <f t="shared" ref="E65:E71" si="9">D65/C65</f>
        <v>0.5</v>
      </c>
      <c r="F65" s="255" t="s">
        <v>174</v>
      </c>
      <c r="G65" s="255" t="s">
        <v>174</v>
      </c>
      <c r="H65" s="8" t="e">
        <f t="shared" si="6"/>
        <v>#DIV/0!</v>
      </c>
      <c r="I65" s="255" t="s">
        <v>174</v>
      </c>
      <c r="J65" s="255" t="s">
        <v>174</v>
      </c>
      <c r="K65" s="8" t="e">
        <f t="shared" si="7"/>
        <v>#DIV/0!</v>
      </c>
      <c r="L65" s="255" t="s">
        <v>174</v>
      </c>
      <c r="M65" s="255" t="s">
        <v>174</v>
      </c>
      <c r="N65" s="8" t="e">
        <f t="shared" si="8"/>
        <v>#DIV/0!</v>
      </c>
      <c r="O65" s="50" t="s">
        <v>102</v>
      </c>
      <c r="P65" s="50" t="s">
        <v>101</v>
      </c>
      <c r="Q65" s="8">
        <f t="shared" si="5"/>
        <v>0.5</v>
      </c>
      <c r="R65" s="165">
        <v>1</v>
      </c>
    </row>
    <row r="66" spans="1:18" x14ac:dyDescent="0.25">
      <c r="A66" s="13">
        <v>41699</v>
      </c>
      <c r="B66" s="8">
        <v>0.9</v>
      </c>
      <c r="C66" s="260" t="s">
        <v>102</v>
      </c>
      <c r="D66" s="260" t="s">
        <v>101</v>
      </c>
      <c r="E66" s="8">
        <f t="shared" si="9"/>
        <v>0.5</v>
      </c>
      <c r="F66" s="260" t="s">
        <v>174</v>
      </c>
      <c r="G66" s="260" t="s">
        <v>174</v>
      </c>
      <c r="H66" s="8" t="e">
        <f t="shared" si="6"/>
        <v>#DIV/0!</v>
      </c>
      <c r="I66" s="260" t="s">
        <v>174</v>
      </c>
      <c r="J66" s="260" t="s">
        <v>174</v>
      </c>
      <c r="K66" s="8" t="e">
        <f t="shared" si="7"/>
        <v>#DIV/0!</v>
      </c>
      <c r="L66" s="260" t="s">
        <v>174</v>
      </c>
      <c r="M66" s="260" t="s">
        <v>174</v>
      </c>
      <c r="N66" s="8" t="e">
        <f t="shared" si="8"/>
        <v>#DIV/0!</v>
      </c>
      <c r="O66" s="50" t="s">
        <v>102</v>
      </c>
      <c r="P66" s="50" t="s">
        <v>101</v>
      </c>
      <c r="Q66" s="8">
        <f t="shared" si="5"/>
        <v>0.5</v>
      </c>
      <c r="R66" s="165">
        <v>0</v>
      </c>
    </row>
    <row r="67" spans="1:18" x14ac:dyDescent="0.25">
      <c r="A67" s="13">
        <v>41730</v>
      </c>
      <c r="B67" s="8">
        <v>0.9</v>
      </c>
      <c r="C67" s="261" t="s">
        <v>102</v>
      </c>
      <c r="D67" s="261" t="s">
        <v>102</v>
      </c>
      <c r="E67" s="8">
        <f t="shared" si="9"/>
        <v>1</v>
      </c>
      <c r="F67" s="261" t="s">
        <v>174</v>
      </c>
      <c r="G67" s="261" t="s">
        <v>174</v>
      </c>
      <c r="H67" s="8" t="e">
        <f t="shared" si="6"/>
        <v>#DIV/0!</v>
      </c>
      <c r="I67" s="261" t="s">
        <v>174</v>
      </c>
      <c r="J67" s="261" t="s">
        <v>174</v>
      </c>
      <c r="K67" s="8" t="e">
        <f t="shared" si="7"/>
        <v>#DIV/0!</v>
      </c>
      <c r="L67" s="261" t="s">
        <v>101</v>
      </c>
      <c r="M67" s="261" t="s">
        <v>101</v>
      </c>
      <c r="N67" s="8">
        <f t="shared" si="8"/>
        <v>1</v>
      </c>
      <c r="O67" s="50" t="s">
        <v>101</v>
      </c>
      <c r="P67" s="50" t="s">
        <v>101</v>
      </c>
      <c r="Q67" s="8">
        <f t="shared" si="5"/>
        <v>1</v>
      </c>
      <c r="R67" s="165">
        <v>0</v>
      </c>
    </row>
    <row r="68" spans="1:18" x14ac:dyDescent="0.25">
      <c r="A68" s="13">
        <v>41760</v>
      </c>
      <c r="B68" s="8">
        <v>0.9</v>
      </c>
      <c r="C68" s="262" t="s">
        <v>101</v>
      </c>
      <c r="D68" s="262" t="s">
        <v>101</v>
      </c>
      <c r="E68" s="8">
        <f t="shared" si="9"/>
        <v>1</v>
      </c>
      <c r="F68" s="262" t="s">
        <v>101</v>
      </c>
      <c r="G68" s="262" t="s">
        <v>101</v>
      </c>
      <c r="H68" s="8">
        <f t="shared" si="6"/>
        <v>1</v>
      </c>
      <c r="I68" s="262" t="s">
        <v>174</v>
      </c>
      <c r="J68" s="262" t="s">
        <v>174</v>
      </c>
      <c r="K68" s="8" t="e">
        <f t="shared" si="7"/>
        <v>#DIV/0!</v>
      </c>
      <c r="L68" s="262" t="s">
        <v>174</v>
      </c>
      <c r="M68" s="262" t="s">
        <v>174</v>
      </c>
      <c r="N68" s="8" t="e">
        <f t="shared" si="8"/>
        <v>#DIV/0!</v>
      </c>
      <c r="O68" s="50" t="s">
        <v>174</v>
      </c>
      <c r="P68" s="50" t="s">
        <v>174</v>
      </c>
      <c r="Q68" s="8" t="e">
        <f t="shared" si="5"/>
        <v>#DIV/0!</v>
      </c>
      <c r="R68" s="165">
        <v>0</v>
      </c>
    </row>
    <row r="69" spans="1:18" x14ac:dyDescent="0.25">
      <c r="A69" s="13">
        <v>41791</v>
      </c>
      <c r="B69" s="8">
        <v>0.9</v>
      </c>
      <c r="C69" s="263" t="s">
        <v>91</v>
      </c>
      <c r="D69" s="263" t="s">
        <v>91</v>
      </c>
      <c r="E69" s="8">
        <f t="shared" si="9"/>
        <v>1</v>
      </c>
      <c r="F69" s="263" t="s">
        <v>174</v>
      </c>
      <c r="G69" s="263" t="s">
        <v>174</v>
      </c>
      <c r="H69" s="8" t="e">
        <f t="shared" si="6"/>
        <v>#DIV/0!</v>
      </c>
      <c r="I69" s="263" t="s">
        <v>174</v>
      </c>
      <c r="J69" s="263" t="s">
        <v>174</v>
      </c>
      <c r="K69" s="8" t="e">
        <f t="shared" si="7"/>
        <v>#DIV/0!</v>
      </c>
      <c r="L69" s="263" t="s">
        <v>101</v>
      </c>
      <c r="M69" s="263" t="s">
        <v>101</v>
      </c>
      <c r="N69" s="8">
        <f t="shared" si="8"/>
        <v>1</v>
      </c>
      <c r="O69" s="50" t="s">
        <v>100</v>
      </c>
      <c r="P69" s="50" t="s">
        <v>100</v>
      </c>
      <c r="Q69" s="8">
        <f t="shared" si="5"/>
        <v>1</v>
      </c>
      <c r="R69" s="165">
        <v>1</v>
      </c>
    </row>
    <row r="70" spans="1:18" x14ac:dyDescent="0.25">
      <c r="A70" s="13">
        <v>41821</v>
      </c>
      <c r="B70" s="8">
        <v>0.9</v>
      </c>
      <c r="C70" s="264" t="s">
        <v>91</v>
      </c>
      <c r="D70" s="264" t="s">
        <v>91</v>
      </c>
      <c r="E70" s="8">
        <f t="shared" si="9"/>
        <v>1</v>
      </c>
      <c r="F70" s="264" t="s">
        <v>174</v>
      </c>
      <c r="G70" s="264" t="s">
        <v>174</v>
      </c>
      <c r="H70" s="8" t="e">
        <f t="shared" si="6"/>
        <v>#DIV/0!</v>
      </c>
      <c r="I70" s="264" t="s">
        <v>174</v>
      </c>
      <c r="J70" s="264" t="s">
        <v>174</v>
      </c>
      <c r="K70" s="8" t="e">
        <f t="shared" si="7"/>
        <v>#DIV/0!</v>
      </c>
      <c r="L70" s="264" t="s">
        <v>101</v>
      </c>
      <c r="M70" s="264" t="s">
        <v>101</v>
      </c>
      <c r="N70" s="8">
        <f t="shared" si="8"/>
        <v>1</v>
      </c>
      <c r="O70" s="50" t="s">
        <v>100</v>
      </c>
      <c r="P70" s="50" t="s">
        <v>100</v>
      </c>
      <c r="Q70" s="8">
        <f t="shared" si="5"/>
        <v>1</v>
      </c>
      <c r="R70" s="165">
        <v>0</v>
      </c>
    </row>
    <row r="71" spans="1:18" x14ac:dyDescent="0.25">
      <c r="A71" s="13">
        <v>41852</v>
      </c>
      <c r="B71" s="8">
        <v>0.9</v>
      </c>
      <c r="C71" s="255" t="s">
        <v>74</v>
      </c>
      <c r="D71" s="255" t="s">
        <v>88</v>
      </c>
      <c r="E71" s="8">
        <f t="shared" si="9"/>
        <v>0.90909090909090906</v>
      </c>
      <c r="F71" s="255" t="s">
        <v>174</v>
      </c>
      <c r="G71" s="255" t="s">
        <v>174</v>
      </c>
      <c r="H71" s="8" t="e">
        <f t="shared" si="6"/>
        <v>#DIV/0!</v>
      </c>
      <c r="I71" s="255" t="s">
        <v>101</v>
      </c>
      <c r="J71" s="255" t="s">
        <v>101</v>
      </c>
      <c r="K71" s="8">
        <f t="shared" si="7"/>
        <v>1</v>
      </c>
      <c r="L71" s="255" t="s">
        <v>174</v>
      </c>
      <c r="M71" s="255" t="s">
        <v>174</v>
      </c>
      <c r="N71" s="8" t="e">
        <f t="shared" si="8"/>
        <v>#DIV/0!</v>
      </c>
      <c r="O71" s="50" t="s">
        <v>88</v>
      </c>
      <c r="P71" s="50" t="s">
        <v>253</v>
      </c>
      <c r="Q71" s="8">
        <f t="shared" si="5"/>
        <v>0.9</v>
      </c>
      <c r="R71" s="165">
        <v>0</v>
      </c>
    </row>
    <row r="72" spans="1:18" x14ac:dyDescent="0.25">
      <c r="A72" s="13"/>
      <c r="B72" s="8"/>
      <c r="C72" s="46"/>
      <c r="D72" s="46"/>
      <c r="E72" s="8"/>
      <c r="F72" s="46"/>
      <c r="G72" s="46"/>
      <c r="H72" s="8"/>
      <c r="I72" s="46"/>
      <c r="J72" s="46"/>
      <c r="K72" s="8"/>
      <c r="L72" s="46"/>
      <c r="M72" s="46"/>
      <c r="N72" s="8"/>
      <c r="O72" s="50"/>
      <c r="P72" s="50"/>
      <c r="Q72" s="8"/>
      <c r="R72" s="165"/>
    </row>
    <row r="73" spans="1:18" x14ac:dyDescent="0.25">
      <c r="A73" s="3"/>
      <c r="B73" s="11"/>
      <c r="C73" s="46"/>
      <c r="D73" s="46"/>
      <c r="E73" s="11"/>
      <c r="F73" s="46"/>
      <c r="G73" s="46"/>
      <c r="H73" s="11"/>
      <c r="I73" s="46"/>
      <c r="J73" s="46"/>
      <c r="K73" s="11"/>
      <c r="L73" s="46"/>
      <c r="M73" s="46"/>
      <c r="N73" s="11"/>
      <c r="O73" s="47"/>
      <c r="P73" s="47"/>
      <c r="Q73" s="11"/>
    </row>
    <row r="74" spans="1:18" x14ac:dyDescent="0.25">
      <c r="A74" s="3"/>
      <c r="B74" s="11"/>
      <c r="C74" s="46"/>
      <c r="D74" s="46"/>
      <c r="E74" s="11"/>
      <c r="F74" s="46"/>
      <c r="G74" s="46"/>
      <c r="H74" s="11"/>
      <c r="I74" s="46"/>
      <c r="J74" s="46"/>
      <c r="K74" s="11"/>
      <c r="L74" s="46"/>
      <c r="M74" s="46"/>
      <c r="N74" s="11"/>
      <c r="O74" s="47"/>
      <c r="P74" s="47"/>
      <c r="Q74" s="11"/>
    </row>
    <row r="75" spans="1:18" x14ac:dyDescent="0.25">
      <c r="A75" s="3"/>
      <c r="B75" s="11"/>
      <c r="C75" s="46"/>
      <c r="D75" s="46"/>
      <c r="E75" s="11"/>
      <c r="F75" s="46"/>
      <c r="G75" s="46"/>
      <c r="H75" s="11"/>
      <c r="I75" s="46"/>
      <c r="J75" s="46"/>
      <c r="K75" s="11"/>
      <c r="L75" s="46"/>
      <c r="M75" s="46"/>
      <c r="N75" s="11"/>
      <c r="O75" s="47"/>
      <c r="P75" s="47"/>
      <c r="Q75" s="11"/>
    </row>
    <row r="76" spans="1:18" x14ac:dyDescent="0.25">
      <c r="A76" s="3"/>
      <c r="B76" s="11"/>
      <c r="C76" s="46"/>
      <c r="D76" s="46"/>
      <c r="E76" s="11"/>
      <c r="F76" s="46"/>
      <c r="G76" s="46"/>
      <c r="H76" s="11"/>
      <c r="I76" s="46"/>
      <c r="J76" s="46"/>
      <c r="K76" s="11"/>
      <c r="L76" s="46"/>
      <c r="M76" s="46"/>
      <c r="N76" s="11"/>
      <c r="O76" s="47"/>
      <c r="P76" s="47"/>
      <c r="Q76" s="11"/>
    </row>
    <row r="82" spans="1:11" x14ac:dyDescent="0.25">
      <c r="C82" s="39"/>
      <c r="E82" s="39"/>
      <c r="F82" s="39"/>
    </row>
    <row r="83" spans="1:11" x14ac:dyDescent="0.25">
      <c r="C83" s="39"/>
      <c r="E83" s="39"/>
      <c r="F83" s="39"/>
    </row>
    <row r="84" spans="1:11" x14ac:dyDescent="0.25">
      <c r="C84" s="39"/>
      <c r="E84" s="39"/>
      <c r="F84" s="39"/>
    </row>
    <row r="85" spans="1:11" x14ac:dyDescent="0.25">
      <c r="C85" s="39"/>
      <c r="E85" s="39"/>
      <c r="F85" s="39"/>
    </row>
    <row r="86" spans="1:11" x14ac:dyDescent="0.25">
      <c r="C86" s="39"/>
      <c r="E86" s="39"/>
      <c r="F86" s="39"/>
    </row>
    <row r="87" spans="1:11" x14ac:dyDescent="0.25">
      <c r="C87" s="39"/>
      <c r="E87" s="39"/>
      <c r="F87" s="39"/>
    </row>
    <row r="88" spans="1:11" x14ac:dyDescent="0.25">
      <c r="C88" s="39"/>
      <c r="E88" s="39"/>
      <c r="F88" s="39"/>
    </row>
    <row r="89" spans="1:11" x14ac:dyDescent="0.25">
      <c r="C89" s="39"/>
      <c r="E89" s="39"/>
      <c r="F89" s="39"/>
    </row>
    <row r="90" spans="1:11" x14ac:dyDescent="0.25">
      <c r="C90" s="39"/>
      <c r="E90" s="39"/>
      <c r="F90" s="39"/>
    </row>
    <row r="91" spans="1:11" x14ac:dyDescent="0.25">
      <c r="C91" s="39"/>
      <c r="E91" s="39"/>
      <c r="F91" s="39"/>
    </row>
    <row r="93" spans="1:11" ht="15.75" x14ac:dyDescent="0.25">
      <c r="A93" s="30" t="s">
        <v>181</v>
      </c>
      <c r="C93" s="30"/>
      <c r="D93" s="30"/>
      <c r="E93" s="30"/>
      <c r="F93"/>
      <c r="G93"/>
    </row>
    <row r="94" spans="1:11" x14ac:dyDescent="0.25">
      <c r="B94" s="3" t="s">
        <v>72</v>
      </c>
      <c r="C94" s="65" t="s">
        <v>0</v>
      </c>
      <c r="D94" s="65" t="s">
        <v>182</v>
      </c>
      <c r="E94" s="65" t="s">
        <v>183</v>
      </c>
      <c r="F94" s="3" t="s">
        <v>187</v>
      </c>
      <c r="G94" s="3" t="s">
        <v>185</v>
      </c>
      <c r="H94" s="3" t="s">
        <v>186</v>
      </c>
      <c r="I94" s="3" t="s">
        <v>192</v>
      </c>
      <c r="J94" s="3"/>
      <c r="K94" s="3"/>
    </row>
    <row r="95" spans="1:11" x14ac:dyDescent="0.25">
      <c r="B95" s="13">
        <v>41061</v>
      </c>
      <c r="C95" s="11">
        <f>SUM(D95:I95)</f>
        <v>7</v>
      </c>
      <c r="D95" s="11">
        <v>5</v>
      </c>
      <c r="E95" s="11">
        <v>0</v>
      </c>
      <c r="F95" s="11">
        <v>1</v>
      </c>
      <c r="G95" s="11">
        <v>0</v>
      </c>
      <c r="H95" s="11">
        <v>1</v>
      </c>
      <c r="I95" s="11">
        <v>0</v>
      </c>
      <c r="J95" s="3"/>
      <c r="K95" s="3"/>
    </row>
    <row r="96" spans="1:11" x14ac:dyDescent="0.25">
      <c r="B96" s="13">
        <v>41091</v>
      </c>
      <c r="C96" s="11">
        <v>6</v>
      </c>
      <c r="D96" s="11">
        <v>6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3"/>
      <c r="K96" s="3"/>
    </row>
    <row r="97" spans="2:11" x14ac:dyDescent="0.25">
      <c r="B97" s="13">
        <v>41122</v>
      </c>
      <c r="C97" s="9">
        <v>7</v>
      </c>
      <c r="D97" s="17">
        <v>3</v>
      </c>
      <c r="E97" s="11">
        <v>3</v>
      </c>
      <c r="F97" s="11">
        <v>1</v>
      </c>
      <c r="G97" s="11">
        <v>0</v>
      </c>
      <c r="H97" s="11">
        <v>0</v>
      </c>
      <c r="I97" s="11">
        <v>0</v>
      </c>
      <c r="J97" s="3"/>
      <c r="K97" s="3"/>
    </row>
    <row r="98" spans="2:11" x14ac:dyDescent="0.25">
      <c r="B98" s="13">
        <v>41153</v>
      </c>
      <c r="C98" s="11">
        <v>2</v>
      </c>
      <c r="D98" s="11">
        <v>1</v>
      </c>
      <c r="E98" s="11">
        <v>1</v>
      </c>
      <c r="F98" s="11">
        <v>0</v>
      </c>
      <c r="G98" s="11">
        <v>0</v>
      </c>
      <c r="H98" s="11">
        <v>0</v>
      </c>
      <c r="I98" s="11">
        <v>1</v>
      </c>
      <c r="J98" s="3"/>
      <c r="K98" s="3"/>
    </row>
    <row r="99" spans="2:11" x14ac:dyDescent="0.25">
      <c r="B99" s="13">
        <v>41183</v>
      </c>
      <c r="C99" s="29">
        <v>5</v>
      </c>
      <c r="D99" s="29">
        <v>4</v>
      </c>
      <c r="E99" s="29">
        <v>0</v>
      </c>
      <c r="F99" s="29">
        <v>1</v>
      </c>
      <c r="G99" s="29">
        <v>0</v>
      </c>
      <c r="H99" s="29">
        <v>0</v>
      </c>
      <c r="I99" s="29">
        <v>0</v>
      </c>
    </row>
    <row r="100" spans="2:11" x14ac:dyDescent="0.25">
      <c r="B100" s="13">
        <v>41214</v>
      </c>
      <c r="C100" s="29">
        <v>2</v>
      </c>
      <c r="D100" s="29">
        <v>1</v>
      </c>
      <c r="E100" s="29">
        <v>1</v>
      </c>
      <c r="F100" s="29">
        <v>0</v>
      </c>
      <c r="G100" s="29">
        <v>0</v>
      </c>
      <c r="H100" s="29">
        <v>0</v>
      </c>
      <c r="I100" s="29">
        <v>0</v>
      </c>
    </row>
    <row r="101" spans="2:11" x14ac:dyDescent="0.25">
      <c r="B101" s="13">
        <v>41244</v>
      </c>
      <c r="C101" s="29">
        <v>1</v>
      </c>
      <c r="D101" s="29">
        <v>0</v>
      </c>
      <c r="E101" s="29">
        <v>0</v>
      </c>
      <c r="F101" s="29">
        <v>0</v>
      </c>
      <c r="G101" s="29">
        <v>1</v>
      </c>
      <c r="H101" s="29">
        <v>0</v>
      </c>
      <c r="I101" s="29">
        <v>0</v>
      </c>
    </row>
    <row r="102" spans="2:11" x14ac:dyDescent="0.25">
      <c r="B102" s="13">
        <v>41275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</row>
    <row r="103" spans="2:11" x14ac:dyDescent="0.25">
      <c r="B103" s="13">
        <v>41306</v>
      </c>
      <c r="C103" s="29">
        <v>4</v>
      </c>
      <c r="D103" s="29">
        <v>3</v>
      </c>
      <c r="E103" s="29">
        <v>1</v>
      </c>
      <c r="F103" s="29">
        <v>0</v>
      </c>
      <c r="G103" s="29">
        <v>0</v>
      </c>
      <c r="H103" s="29">
        <v>0</v>
      </c>
      <c r="I103" s="29">
        <v>0</v>
      </c>
    </row>
    <row r="104" spans="2:11" x14ac:dyDescent="0.25">
      <c r="B104" s="13">
        <v>41334</v>
      </c>
      <c r="C104" s="29">
        <v>11</v>
      </c>
      <c r="D104" s="29">
        <v>7</v>
      </c>
      <c r="E104" s="29">
        <v>3</v>
      </c>
      <c r="F104" s="29">
        <v>1</v>
      </c>
      <c r="G104" s="29">
        <v>0</v>
      </c>
      <c r="H104" s="29">
        <v>0</v>
      </c>
      <c r="I104" s="29">
        <v>0</v>
      </c>
    </row>
    <row r="105" spans="2:11" x14ac:dyDescent="0.25">
      <c r="B105" s="13">
        <v>41365</v>
      </c>
      <c r="C105" s="29">
        <v>3</v>
      </c>
      <c r="D105" s="29">
        <v>3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</row>
    <row r="106" spans="2:11" x14ac:dyDescent="0.25">
      <c r="B106" s="13">
        <v>41395</v>
      </c>
      <c r="C106" s="29">
        <v>4</v>
      </c>
      <c r="D106" s="29">
        <v>3</v>
      </c>
      <c r="E106" s="29">
        <v>0</v>
      </c>
      <c r="F106" s="29">
        <v>1</v>
      </c>
      <c r="G106" s="29">
        <v>0</v>
      </c>
      <c r="H106" s="29">
        <v>0</v>
      </c>
      <c r="I106" s="29">
        <v>0</v>
      </c>
    </row>
    <row r="107" spans="2:11" x14ac:dyDescent="0.25">
      <c r="B107" s="13">
        <v>41426</v>
      </c>
      <c r="C107" s="29">
        <v>7</v>
      </c>
      <c r="D107" s="29">
        <v>7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</row>
    <row r="108" spans="2:11" x14ac:dyDescent="0.25">
      <c r="B108" s="13">
        <v>41456</v>
      </c>
      <c r="C108" s="29">
        <v>1</v>
      </c>
      <c r="D108" s="29">
        <v>1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</row>
    <row r="109" spans="2:11" x14ac:dyDescent="0.25">
      <c r="B109" s="13">
        <v>41487</v>
      </c>
      <c r="C109" s="29">
        <v>6</v>
      </c>
      <c r="D109" s="29">
        <v>5</v>
      </c>
      <c r="E109" s="29">
        <v>0</v>
      </c>
      <c r="F109" s="29">
        <v>1</v>
      </c>
      <c r="G109" s="29">
        <v>0</v>
      </c>
      <c r="H109" s="29">
        <v>0</v>
      </c>
      <c r="I109" s="29">
        <v>0</v>
      </c>
    </row>
    <row r="110" spans="2:11" x14ac:dyDescent="0.25">
      <c r="B110" s="13">
        <v>41518</v>
      </c>
      <c r="C110" s="29">
        <v>1</v>
      </c>
      <c r="D110" s="29">
        <v>1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</row>
    <row r="111" spans="2:11" x14ac:dyDescent="0.25">
      <c r="B111" s="13">
        <v>41548</v>
      </c>
      <c r="C111" s="29">
        <v>4</v>
      </c>
      <c r="D111" s="29">
        <v>4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</row>
    <row r="112" spans="2:11" x14ac:dyDescent="0.25">
      <c r="B112" s="13">
        <v>41579</v>
      </c>
      <c r="C112" s="29">
        <v>1</v>
      </c>
      <c r="D112" s="29">
        <v>1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</row>
    <row r="113" spans="2:9" x14ac:dyDescent="0.25">
      <c r="B113" s="13">
        <v>41609</v>
      </c>
      <c r="C113" s="29">
        <v>1</v>
      </c>
      <c r="D113" s="29">
        <v>1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</row>
    <row r="114" spans="2:9" x14ac:dyDescent="0.25">
      <c r="B114" s="13">
        <v>41640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</row>
    <row r="115" spans="2:9" x14ac:dyDescent="0.25">
      <c r="B115" s="13">
        <v>41671</v>
      </c>
      <c r="C115" s="29">
        <v>1</v>
      </c>
      <c r="D115" s="29">
        <v>1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</row>
    <row r="116" spans="2:9" x14ac:dyDescent="0.25">
      <c r="B116" s="13">
        <v>41699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</row>
    <row r="117" spans="2:9" x14ac:dyDescent="0.25">
      <c r="B117" s="13">
        <v>41730</v>
      </c>
      <c r="C117" s="29">
        <v>2</v>
      </c>
      <c r="D117" s="29">
        <v>2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</row>
    <row r="118" spans="2:9" x14ac:dyDescent="0.25">
      <c r="B118" s="13">
        <v>41760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</row>
    <row r="119" spans="2:9" x14ac:dyDescent="0.25">
      <c r="B119" s="13">
        <v>41791</v>
      </c>
      <c r="C119" s="29">
        <v>1</v>
      </c>
      <c r="D119" s="29">
        <v>1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</row>
    <row r="120" spans="2:9" x14ac:dyDescent="0.25">
      <c r="B120" s="13">
        <v>41821</v>
      </c>
      <c r="C120" s="29">
        <v>3</v>
      </c>
      <c r="D120" s="29">
        <v>3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</row>
    <row r="121" spans="2:9" x14ac:dyDescent="0.25">
      <c r="B121" s="13">
        <v>41852</v>
      </c>
      <c r="C121" s="29">
        <v>4</v>
      </c>
      <c r="D121" s="29">
        <v>3</v>
      </c>
      <c r="E121" s="29">
        <v>1</v>
      </c>
      <c r="F121" s="29">
        <v>0</v>
      </c>
      <c r="G121" s="29">
        <v>0</v>
      </c>
      <c r="H121" s="29">
        <v>0</v>
      </c>
      <c r="I121" s="29">
        <v>0</v>
      </c>
    </row>
    <row r="143" spans="2:6" x14ac:dyDescent="0.25">
      <c r="B143" s="29"/>
      <c r="C143" s="29"/>
      <c r="D143" s="29"/>
      <c r="E143" s="39"/>
      <c r="F143" s="39"/>
    </row>
    <row r="144" spans="2:6" x14ac:dyDescent="0.25">
      <c r="B144" s="29"/>
      <c r="C144" s="29"/>
      <c r="D144" s="29"/>
      <c r="E144" s="39"/>
      <c r="F144" s="39"/>
    </row>
    <row r="145" spans="2:6" x14ac:dyDescent="0.25">
      <c r="B145" s="29"/>
      <c r="C145" s="29"/>
      <c r="D145" s="29"/>
      <c r="E145" s="39"/>
      <c r="F145" s="39"/>
    </row>
    <row r="146" spans="2:6" x14ac:dyDescent="0.25">
      <c r="B146" s="29"/>
      <c r="C146" s="29"/>
      <c r="D146" s="29"/>
      <c r="E146" s="39"/>
      <c r="F146" s="39"/>
    </row>
    <row r="147" spans="2:6" x14ac:dyDescent="0.25">
      <c r="C147" s="39"/>
      <c r="E147" s="39"/>
      <c r="F147" s="39"/>
    </row>
    <row r="148" spans="2:6" x14ac:dyDescent="0.25">
      <c r="C148" s="39"/>
      <c r="E148" s="39"/>
      <c r="F148" s="39"/>
    </row>
    <row r="149" spans="2:6" x14ac:dyDescent="0.25">
      <c r="C149" s="39"/>
      <c r="E149" s="39"/>
      <c r="F149" s="39"/>
    </row>
    <row r="150" spans="2:6" x14ac:dyDescent="0.25">
      <c r="C150" s="39"/>
      <c r="E150" s="39"/>
      <c r="F150" s="39"/>
    </row>
    <row r="151" spans="2:6" x14ac:dyDescent="0.25">
      <c r="C151" s="39"/>
      <c r="E151" s="39"/>
      <c r="F151" s="39"/>
    </row>
    <row r="152" spans="2:6" x14ac:dyDescent="0.25">
      <c r="C152" s="39"/>
      <c r="E152" s="39"/>
      <c r="F152" s="39"/>
    </row>
    <row r="153" spans="2:6" x14ac:dyDescent="0.25">
      <c r="C153" s="39"/>
      <c r="E153" s="39"/>
      <c r="F153" s="39"/>
    </row>
    <row r="154" spans="2:6" x14ac:dyDescent="0.25">
      <c r="C154" s="39"/>
      <c r="E154" s="39"/>
      <c r="F154" s="39"/>
    </row>
    <row r="155" spans="2:6" x14ac:dyDescent="0.25">
      <c r="C155" s="39"/>
      <c r="E155" s="39"/>
      <c r="F155" s="39"/>
    </row>
    <row r="156" spans="2:6" x14ac:dyDescent="0.25">
      <c r="C156" s="39"/>
      <c r="E156" s="39"/>
      <c r="F156" s="39"/>
    </row>
    <row r="157" spans="2:6" x14ac:dyDescent="0.25">
      <c r="C157" s="39"/>
      <c r="E157" s="39"/>
      <c r="F157" s="39"/>
    </row>
    <row r="158" spans="2:6" x14ac:dyDescent="0.25">
      <c r="C158" s="39"/>
      <c r="E158" s="39"/>
      <c r="F158" s="39"/>
    </row>
    <row r="159" spans="2:6" x14ac:dyDescent="0.25">
      <c r="C159" s="39"/>
      <c r="E159" s="39"/>
      <c r="F159" s="39"/>
    </row>
    <row r="160" spans="2:6" x14ac:dyDescent="0.25">
      <c r="C160" s="39"/>
      <c r="E160" s="39"/>
      <c r="F160" s="39"/>
    </row>
    <row r="161" spans="3:6" x14ac:dyDescent="0.25">
      <c r="C161" s="39"/>
      <c r="E161" s="39"/>
      <c r="F161" s="39"/>
    </row>
    <row r="162" spans="3:6" x14ac:dyDescent="0.25">
      <c r="C162" s="39"/>
      <c r="E162" s="39"/>
      <c r="F162" s="39"/>
    </row>
    <row r="163" spans="3:6" x14ac:dyDescent="0.25">
      <c r="C163" s="39"/>
      <c r="E163" s="39"/>
      <c r="F163" s="39"/>
    </row>
  </sheetData>
  <pageMargins left="0.25" right="0.25" top="0.75" bottom="0.75" header="0.3" footer="0.3"/>
  <pageSetup scale="46" orientation="portrait" r:id="rId1"/>
  <colBreaks count="2" manualBreakCount="2">
    <brk id="4" max="1048575" man="1"/>
    <brk id="18" max="1048575" man="1"/>
  </colBreaks>
  <ignoredErrors>
    <ignoredError sqref="C37:D43 F43:G43 I43:J43 L43:M43 O43:P43 F45:G45 I45:J45 L45:M45 O45:P45 L44:M44 F44:G44 C46:D46 F46:G46 I46:J46 L46:M46 O46:P46 C47:D47 F47:G47 I47:J47 L47:M47 O47:P47 O48:P48 L48:M48 I48:J48 F48:G48 C48:D48 C49:D49 I49:J49 L49:M49 O49:P49 C50:D50 O50:P50 L50:M50 I50:J50 F50:G50 F49:G49 C55:P55 C56:Q56 O57:P57 L57:M57 I57:J57 F57:G57 C57:D57 C58:G58 I58:J58 L58:Q58 C59:D59 F59:G59 I59:J59 L59:Q59 C60:G60 I60:P60 C61:G61 I61:R61 B62:G62 O62:P62 C63:D63 O63:Q63 F63:G63 C64:G64 C65:G65 O64:P64 O65:Q65 C66:E66 C67:E67 C68:D68 O66:P66 O67:P67 F67:G67 F66:G66 L67:N67 L66:M66 I67:J67 I66:J66 C69:Q69 C70:Q70 C71:P71" numberStoredAsText="1"/>
    <ignoredError sqref="H58 K58 H60:H61 H62:N62 H63:N63 H65:N65 H64:N64 F68:P68 K66 K67 H66 H67 N66" evalError="1" numberStoredAsText="1"/>
    <ignoredError sqref="H59 K59 Q68" evalError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45"/>
  <sheetViews>
    <sheetView topLeftCell="A127" zoomScaleNormal="100" zoomScaleSheetLayoutView="50" workbookViewId="0">
      <selection activeCell="K120" sqref="K120"/>
    </sheetView>
  </sheetViews>
  <sheetFormatPr defaultRowHeight="15" x14ac:dyDescent="0.25"/>
  <cols>
    <col min="1" max="1" width="14.5703125" customWidth="1"/>
    <col min="2" max="2" width="11.28515625" bestFit="1" customWidth="1"/>
    <col min="3" max="3" width="10.7109375" style="39" customWidth="1"/>
    <col min="4" max="4" width="10" style="39" customWidth="1"/>
    <col min="5" max="5" width="6.85546875" style="39" customWidth="1"/>
    <col min="6" max="6" width="10.7109375" style="39" customWidth="1"/>
    <col min="7" max="7" width="11" style="39" customWidth="1"/>
    <col min="9" max="9" width="12" customWidth="1"/>
    <col min="10" max="10" width="11.85546875" customWidth="1"/>
    <col min="12" max="12" width="10.7109375" customWidth="1"/>
    <col min="13" max="13" width="9.7109375" customWidth="1"/>
    <col min="15" max="15" width="10.140625" customWidth="1"/>
    <col min="16" max="16" width="11" customWidth="1"/>
  </cols>
  <sheetData>
    <row r="2" spans="1:7" ht="14.45" x14ac:dyDescent="0.3">
      <c r="A2" s="6"/>
      <c r="B2" s="6"/>
      <c r="C2" s="41"/>
      <c r="D2" s="41"/>
      <c r="E2" s="41"/>
      <c r="F2" s="41"/>
      <c r="G2" s="41"/>
    </row>
    <row r="3" spans="1:7" ht="14.45" x14ac:dyDescent="0.3">
      <c r="A3" s="49" t="s">
        <v>72</v>
      </c>
      <c r="B3" s="6" t="s">
        <v>6</v>
      </c>
      <c r="C3" s="39" t="s">
        <v>0</v>
      </c>
      <c r="E3" s="39" t="s">
        <v>1</v>
      </c>
    </row>
    <row r="4" spans="1:7" ht="14.45" x14ac:dyDescent="0.3">
      <c r="A4" s="1">
        <v>40909</v>
      </c>
      <c r="B4" s="34">
        <v>300</v>
      </c>
      <c r="C4" s="40">
        <v>632</v>
      </c>
      <c r="D4" s="40"/>
      <c r="E4" s="39">
        <v>244</v>
      </c>
      <c r="F4" s="20">
        <f>+E4/C4</f>
        <v>0.38607594936708861</v>
      </c>
      <c r="G4" s="20"/>
    </row>
    <row r="5" spans="1:7" ht="14.45" x14ac:dyDescent="0.3">
      <c r="A5" s="1">
        <v>40940</v>
      </c>
      <c r="B5" s="34">
        <v>300</v>
      </c>
      <c r="C5" s="40">
        <v>641</v>
      </c>
      <c r="D5" s="40"/>
      <c r="E5" s="41">
        <v>197</v>
      </c>
      <c r="F5" s="20">
        <f t="shared" ref="F5:F14" si="0">+E5/C5</f>
        <v>0.30733229329173167</v>
      </c>
      <c r="G5" s="20"/>
    </row>
    <row r="6" spans="1:7" ht="14.45" x14ac:dyDescent="0.3">
      <c r="A6" s="1">
        <v>40969</v>
      </c>
      <c r="B6" s="34">
        <v>300</v>
      </c>
      <c r="C6" s="40">
        <v>653</v>
      </c>
      <c r="D6" s="40"/>
      <c r="E6" s="41">
        <v>248</v>
      </c>
      <c r="F6" s="20">
        <f t="shared" si="0"/>
        <v>0.37978560490045943</v>
      </c>
      <c r="G6" s="20"/>
    </row>
    <row r="7" spans="1:7" ht="14.45" x14ac:dyDescent="0.3">
      <c r="A7" s="1">
        <v>41000</v>
      </c>
      <c r="B7" s="34">
        <v>300</v>
      </c>
      <c r="C7" s="40">
        <v>541</v>
      </c>
      <c r="D7" s="40"/>
      <c r="E7" s="41">
        <v>173</v>
      </c>
      <c r="F7" s="20">
        <f t="shared" si="0"/>
        <v>0.31977818853974121</v>
      </c>
      <c r="G7" s="20"/>
    </row>
    <row r="8" spans="1:7" ht="14.45" x14ac:dyDescent="0.3">
      <c r="A8" s="1">
        <v>41030</v>
      </c>
      <c r="B8" s="34">
        <v>300</v>
      </c>
      <c r="C8" s="40">
        <v>437</v>
      </c>
      <c r="D8" s="40"/>
      <c r="E8" s="41">
        <v>298</v>
      </c>
      <c r="F8" s="20">
        <f t="shared" si="0"/>
        <v>0.6819221967963387</v>
      </c>
      <c r="G8" s="20"/>
    </row>
    <row r="9" spans="1:7" ht="14.45" x14ac:dyDescent="0.3">
      <c r="A9" s="1">
        <v>41061</v>
      </c>
      <c r="B9" s="34">
        <v>300</v>
      </c>
      <c r="C9" s="40">
        <v>559</v>
      </c>
      <c r="D9" s="40"/>
      <c r="E9" s="41">
        <v>205</v>
      </c>
      <c r="F9" s="20">
        <f t="shared" si="0"/>
        <v>0.36672629695885511</v>
      </c>
      <c r="G9" s="20"/>
    </row>
    <row r="10" spans="1:7" ht="14.45" x14ac:dyDescent="0.3">
      <c r="A10" s="1">
        <v>41091</v>
      </c>
      <c r="B10" s="34">
        <v>300</v>
      </c>
      <c r="C10" s="40">
        <v>640</v>
      </c>
      <c r="D10" s="40"/>
      <c r="E10" s="41">
        <v>241</v>
      </c>
      <c r="F10" s="20">
        <f t="shared" si="0"/>
        <v>0.37656250000000002</v>
      </c>
      <c r="G10" s="20"/>
    </row>
    <row r="11" spans="1:7" ht="14.45" x14ac:dyDescent="0.3">
      <c r="A11" s="1">
        <v>41122</v>
      </c>
      <c r="B11" s="34">
        <v>300</v>
      </c>
      <c r="C11" s="40">
        <v>722</v>
      </c>
      <c r="D11" s="40"/>
      <c r="E11" s="41">
        <v>348</v>
      </c>
      <c r="F11" s="20">
        <f t="shared" si="0"/>
        <v>0.48199445983379502</v>
      </c>
      <c r="G11" s="20"/>
    </row>
    <row r="12" spans="1:7" ht="14.45" x14ac:dyDescent="0.3">
      <c r="A12" s="1">
        <v>41153</v>
      </c>
      <c r="B12" s="34">
        <v>300</v>
      </c>
      <c r="C12" s="40">
        <v>569</v>
      </c>
      <c r="D12" s="40"/>
      <c r="E12" s="41">
        <v>259</v>
      </c>
      <c r="F12" s="20">
        <f t="shared" si="0"/>
        <v>0.45518453427065025</v>
      </c>
      <c r="G12" s="20"/>
    </row>
    <row r="13" spans="1:7" ht="14.45" x14ac:dyDescent="0.3">
      <c r="A13" s="1">
        <v>41183</v>
      </c>
      <c r="B13" s="34">
        <v>300</v>
      </c>
      <c r="C13" s="40">
        <v>402</v>
      </c>
      <c r="D13" s="40"/>
      <c r="E13" s="41">
        <v>106</v>
      </c>
      <c r="F13" s="20">
        <f t="shared" si="0"/>
        <v>0.26368159203980102</v>
      </c>
      <c r="G13" s="20"/>
    </row>
    <row r="14" spans="1:7" ht="14.45" x14ac:dyDescent="0.3">
      <c r="A14" s="1">
        <v>41214</v>
      </c>
      <c r="B14" s="34">
        <v>300</v>
      </c>
      <c r="C14" s="40">
        <v>451</v>
      </c>
      <c r="D14" s="40"/>
      <c r="E14" s="41">
        <v>111</v>
      </c>
      <c r="F14" s="20">
        <f t="shared" si="0"/>
        <v>0.24611973392461198</v>
      </c>
      <c r="G14" s="20"/>
    </row>
    <row r="15" spans="1:7" ht="14.45" x14ac:dyDescent="0.3">
      <c r="A15" s="1">
        <v>41244</v>
      </c>
      <c r="B15" s="34">
        <v>300</v>
      </c>
      <c r="C15" s="40">
        <v>341</v>
      </c>
      <c r="D15" s="40"/>
      <c r="E15" s="41">
        <v>133</v>
      </c>
      <c r="F15" s="20">
        <f t="shared" ref="F15:F35" si="1">+E15/C15</f>
        <v>0.39002932551319647</v>
      </c>
      <c r="G15" s="20"/>
    </row>
    <row r="16" spans="1:7" ht="14.45" x14ac:dyDescent="0.3">
      <c r="A16" s="1">
        <v>41275</v>
      </c>
      <c r="B16" s="34">
        <v>300</v>
      </c>
      <c r="C16" s="40">
        <v>545</v>
      </c>
      <c r="D16" s="40"/>
      <c r="E16" s="41">
        <v>123</v>
      </c>
      <c r="F16" s="20">
        <f t="shared" si="1"/>
        <v>0.22568807339449543</v>
      </c>
    </row>
    <row r="17" spans="1:6" ht="14.45" x14ac:dyDescent="0.3">
      <c r="A17" s="1">
        <v>41306</v>
      </c>
      <c r="B17" s="34">
        <v>300</v>
      </c>
      <c r="C17" s="39">
        <v>460</v>
      </c>
      <c r="E17" s="39">
        <v>107</v>
      </c>
      <c r="F17" s="20">
        <f t="shared" si="1"/>
        <v>0.2326086956521739</v>
      </c>
    </row>
    <row r="18" spans="1:6" ht="14.45" x14ac:dyDescent="0.3">
      <c r="A18" s="1">
        <v>41334</v>
      </c>
      <c r="B18" s="34">
        <v>300</v>
      </c>
      <c r="C18" s="39">
        <v>468</v>
      </c>
      <c r="E18" s="39">
        <v>87</v>
      </c>
      <c r="F18" s="20">
        <f t="shared" si="1"/>
        <v>0.1858974358974359</v>
      </c>
    </row>
    <row r="19" spans="1:6" ht="14.45" x14ac:dyDescent="0.3">
      <c r="A19" s="1">
        <v>41365</v>
      </c>
      <c r="B19" s="34">
        <v>300</v>
      </c>
      <c r="C19" s="39">
        <v>388</v>
      </c>
      <c r="E19" s="39">
        <v>86</v>
      </c>
      <c r="F19" s="20">
        <f t="shared" si="1"/>
        <v>0.22164948453608246</v>
      </c>
    </row>
    <row r="20" spans="1:6" ht="14.45" x14ac:dyDescent="0.3">
      <c r="A20" s="1">
        <v>41395</v>
      </c>
      <c r="B20" s="34">
        <v>300</v>
      </c>
      <c r="C20" s="39">
        <v>410</v>
      </c>
      <c r="E20" s="39">
        <v>58</v>
      </c>
      <c r="F20" s="20">
        <f t="shared" si="1"/>
        <v>0.14146341463414633</v>
      </c>
    </row>
    <row r="21" spans="1:6" ht="14.45" x14ac:dyDescent="0.3">
      <c r="A21" s="1">
        <v>41426</v>
      </c>
      <c r="B21" s="34">
        <v>300</v>
      </c>
      <c r="C21" s="39">
        <v>453</v>
      </c>
      <c r="E21" s="39">
        <v>86</v>
      </c>
      <c r="F21" s="20">
        <f t="shared" si="1"/>
        <v>0.18984547461368653</v>
      </c>
    </row>
    <row r="22" spans="1:6" ht="14.45" x14ac:dyDescent="0.3">
      <c r="A22" s="1">
        <v>41456</v>
      </c>
      <c r="B22" s="34">
        <v>300</v>
      </c>
      <c r="C22" s="39">
        <v>384</v>
      </c>
      <c r="E22" s="39">
        <v>72</v>
      </c>
      <c r="F22" s="20">
        <f t="shared" si="1"/>
        <v>0.1875</v>
      </c>
    </row>
    <row r="23" spans="1:6" ht="14.45" x14ac:dyDescent="0.3">
      <c r="A23" s="1">
        <v>41487</v>
      </c>
      <c r="B23" s="34">
        <v>300</v>
      </c>
      <c r="C23" s="39">
        <v>350</v>
      </c>
      <c r="E23" s="39">
        <v>60</v>
      </c>
      <c r="F23" s="20">
        <f t="shared" si="1"/>
        <v>0.17142857142857143</v>
      </c>
    </row>
    <row r="24" spans="1:6" ht="14.45" x14ac:dyDescent="0.3">
      <c r="A24" s="1">
        <v>41518</v>
      </c>
      <c r="B24" s="34">
        <v>300</v>
      </c>
      <c r="C24" s="39">
        <v>356</v>
      </c>
      <c r="E24" s="39">
        <v>79</v>
      </c>
      <c r="F24" s="20">
        <f t="shared" si="1"/>
        <v>0.22191011235955055</v>
      </c>
    </row>
    <row r="25" spans="1:6" ht="14.45" x14ac:dyDescent="0.3">
      <c r="A25" s="1">
        <v>41548</v>
      </c>
      <c r="B25" s="34">
        <v>300</v>
      </c>
      <c r="C25" s="39">
        <v>469</v>
      </c>
      <c r="E25" s="39">
        <v>78</v>
      </c>
      <c r="F25" s="20">
        <f t="shared" si="1"/>
        <v>0.16631130063965885</v>
      </c>
    </row>
    <row r="26" spans="1:6" ht="14.45" x14ac:dyDescent="0.3">
      <c r="A26" s="1">
        <v>41579</v>
      </c>
      <c r="B26" s="34">
        <v>300</v>
      </c>
      <c r="C26" s="39">
        <v>472</v>
      </c>
      <c r="E26" s="39">
        <v>101</v>
      </c>
      <c r="F26" s="20">
        <f t="shared" si="1"/>
        <v>0.21398305084745764</v>
      </c>
    </row>
    <row r="27" spans="1:6" ht="14.45" x14ac:dyDescent="0.3">
      <c r="A27" s="1">
        <v>41609</v>
      </c>
      <c r="B27" s="34">
        <v>300</v>
      </c>
      <c r="C27" s="39">
        <v>350</v>
      </c>
      <c r="E27" s="39">
        <v>148</v>
      </c>
      <c r="F27" s="20">
        <f t="shared" si="1"/>
        <v>0.42285714285714288</v>
      </c>
    </row>
    <row r="28" spans="1:6" ht="14.45" x14ac:dyDescent="0.3">
      <c r="A28" s="1">
        <v>41640</v>
      </c>
      <c r="B28" s="34">
        <v>300</v>
      </c>
      <c r="C28" s="39">
        <v>593</v>
      </c>
      <c r="E28" s="39">
        <v>164</v>
      </c>
      <c r="F28" s="20">
        <f t="shared" si="1"/>
        <v>0.27655986509274871</v>
      </c>
    </row>
    <row r="29" spans="1:6" ht="14.45" x14ac:dyDescent="0.3">
      <c r="A29" s="1">
        <v>41671</v>
      </c>
      <c r="B29" s="34">
        <v>300</v>
      </c>
      <c r="C29" s="39">
        <v>637</v>
      </c>
      <c r="E29" s="39">
        <v>216</v>
      </c>
      <c r="F29" s="20">
        <f t="shared" si="1"/>
        <v>0.3390894819466248</v>
      </c>
    </row>
    <row r="30" spans="1:6" ht="14.45" x14ac:dyDescent="0.3">
      <c r="A30" s="1">
        <v>41699</v>
      </c>
      <c r="B30" s="34">
        <v>300</v>
      </c>
      <c r="C30" s="39">
        <v>580</v>
      </c>
      <c r="E30" s="39">
        <v>231</v>
      </c>
      <c r="F30" s="20">
        <f t="shared" si="1"/>
        <v>0.39827586206896554</v>
      </c>
    </row>
    <row r="31" spans="1:6" ht="14.45" x14ac:dyDescent="0.3">
      <c r="A31" s="1">
        <v>41730</v>
      </c>
      <c r="B31" s="34">
        <v>300</v>
      </c>
      <c r="C31" s="39">
        <v>621</v>
      </c>
      <c r="E31" s="39">
        <v>244</v>
      </c>
      <c r="F31" s="20">
        <f t="shared" si="1"/>
        <v>0.39291465378421903</v>
      </c>
    </row>
    <row r="32" spans="1:6" ht="14.45" x14ac:dyDescent="0.3">
      <c r="A32" s="1">
        <v>41760</v>
      </c>
      <c r="B32" s="34">
        <v>300</v>
      </c>
      <c r="C32" s="39">
        <v>501</v>
      </c>
      <c r="E32" s="39">
        <v>181</v>
      </c>
      <c r="F32" s="20">
        <f t="shared" si="1"/>
        <v>0.36127744510978044</v>
      </c>
    </row>
    <row r="33" spans="1:18" ht="14.45" x14ac:dyDescent="0.3">
      <c r="A33" s="1">
        <v>41791</v>
      </c>
      <c r="B33" s="34">
        <v>300</v>
      </c>
      <c r="C33" s="39">
        <v>480</v>
      </c>
      <c r="E33" s="39">
        <v>169</v>
      </c>
      <c r="F33" s="20">
        <f t="shared" si="1"/>
        <v>0.35208333333333336</v>
      </c>
    </row>
    <row r="34" spans="1:18" ht="14.45" x14ac:dyDescent="0.3">
      <c r="A34" s="1">
        <v>41821</v>
      </c>
      <c r="B34" s="34">
        <v>300</v>
      </c>
      <c r="C34" s="39">
        <v>573</v>
      </c>
      <c r="E34" s="39">
        <v>257</v>
      </c>
      <c r="F34" s="20">
        <f t="shared" si="1"/>
        <v>0.44851657940663175</v>
      </c>
    </row>
    <row r="35" spans="1:18" ht="14.45" x14ac:dyDescent="0.3">
      <c r="A35" s="1">
        <v>41852</v>
      </c>
      <c r="B35" s="34">
        <v>300</v>
      </c>
      <c r="C35" s="39">
        <v>682</v>
      </c>
      <c r="E35" s="39">
        <v>309</v>
      </c>
      <c r="F35" s="20">
        <f t="shared" si="1"/>
        <v>0.45307917888563048</v>
      </c>
    </row>
    <row r="36" spans="1:18" ht="14.45" x14ac:dyDescent="0.3">
      <c r="A36" s="3"/>
      <c r="B36" s="11"/>
      <c r="C36" s="46"/>
      <c r="D36" s="46"/>
      <c r="E36" s="11"/>
      <c r="F36" s="46"/>
      <c r="G36" s="46"/>
      <c r="H36" s="11"/>
      <c r="I36" s="46"/>
      <c r="J36" s="46"/>
      <c r="K36" s="11"/>
      <c r="L36" s="46"/>
      <c r="M36" s="46"/>
      <c r="N36" s="11"/>
      <c r="O36" s="47"/>
      <c r="P36" s="47"/>
      <c r="Q36" s="11"/>
    </row>
    <row r="37" spans="1:18" ht="43.15" x14ac:dyDescent="0.3">
      <c r="A37" s="11" t="s">
        <v>72</v>
      </c>
      <c r="B37" s="11" t="s">
        <v>6</v>
      </c>
      <c r="C37" s="48" t="s">
        <v>56</v>
      </c>
      <c r="D37" s="48" t="s">
        <v>57</v>
      </c>
      <c r="E37" s="11" t="s">
        <v>8</v>
      </c>
      <c r="F37" s="48" t="s">
        <v>56</v>
      </c>
      <c r="G37" s="48" t="s">
        <v>57</v>
      </c>
      <c r="H37" s="11" t="s">
        <v>9</v>
      </c>
      <c r="I37" s="48" t="s">
        <v>56</v>
      </c>
      <c r="J37" s="48" t="s">
        <v>57</v>
      </c>
      <c r="K37" s="11" t="s">
        <v>10</v>
      </c>
      <c r="L37" s="48" t="s">
        <v>56</v>
      </c>
      <c r="M37" s="48" t="s">
        <v>57</v>
      </c>
      <c r="N37" s="11" t="s">
        <v>11</v>
      </c>
      <c r="O37" s="48" t="s">
        <v>56</v>
      </c>
      <c r="P37" s="48" t="s">
        <v>57</v>
      </c>
      <c r="Q37" s="11" t="s">
        <v>12</v>
      </c>
      <c r="R37" s="48" t="s">
        <v>191</v>
      </c>
    </row>
    <row r="38" spans="1:18" ht="14.45" x14ac:dyDescent="0.3">
      <c r="A38" s="13">
        <v>40817</v>
      </c>
      <c r="B38" s="8">
        <v>0.9</v>
      </c>
      <c r="C38" s="45" t="s">
        <v>171</v>
      </c>
      <c r="D38" s="45" t="s">
        <v>158</v>
      </c>
      <c r="E38" s="8">
        <f t="shared" ref="E38:E50" si="2">D38/C38</f>
        <v>0.7410161090458488</v>
      </c>
      <c r="F38" s="45" t="s">
        <v>154</v>
      </c>
      <c r="G38" s="45" t="s">
        <v>148</v>
      </c>
      <c r="H38" s="8">
        <f t="shared" ref="H38:H40" si="3">G38/F38</f>
        <v>0.77777777777777779</v>
      </c>
      <c r="I38" s="45" t="s">
        <v>147</v>
      </c>
      <c r="J38" s="45" t="s">
        <v>139</v>
      </c>
      <c r="K38" s="8">
        <f t="shared" ref="K38:K40" si="4">J38/I38</f>
        <v>0.63636363636363635</v>
      </c>
      <c r="L38" s="45" t="s">
        <v>138</v>
      </c>
      <c r="M38" s="45" t="s">
        <v>127</v>
      </c>
      <c r="N38" s="8">
        <f t="shared" ref="N38:N40" si="5">M38/L38</f>
        <v>0.74850299401197606</v>
      </c>
      <c r="O38" s="50" t="s">
        <v>126</v>
      </c>
      <c r="P38" s="50" t="s">
        <v>115</v>
      </c>
      <c r="Q38" s="8">
        <f t="shared" ref="Q38:Q40" si="6">P38/O38</f>
        <v>0.76789587852494579</v>
      </c>
    </row>
    <row r="39" spans="1:18" ht="14.45" x14ac:dyDescent="0.3">
      <c r="A39" s="13">
        <v>40848</v>
      </c>
      <c r="B39" s="8">
        <v>0.9</v>
      </c>
      <c r="C39" s="45" t="s">
        <v>170</v>
      </c>
      <c r="D39" s="45" t="s">
        <v>159</v>
      </c>
      <c r="E39" s="8">
        <f t="shared" si="2"/>
        <v>0.76067270375161711</v>
      </c>
      <c r="F39" s="45" t="s">
        <v>151</v>
      </c>
      <c r="G39" s="45" t="s">
        <v>149</v>
      </c>
      <c r="H39" s="8">
        <f t="shared" si="3"/>
        <v>0.78</v>
      </c>
      <c r="I39" s="45" t="s">
        <v>146</v>
      </c>
      <c r="J39" s="45" t="s">
        <v>140</v>
      </c>
      <c r="K39" s="8">
        <f t="shared" si="4"/>
        <v>0.51724137931034486</v>
      </c>
      <c r="L39" s="45" t="s">
        <v>137</v>
      </c>
      <c r="M39" s="45" t="s">
        <v>128</v>
      </c>
      <c r="N39" s="8">
        <f t="shared" si="5"/>
        <v>0.79136690647482011</v>
      </c>
      <c r="O39" s="50" t="s">
        <v>125</v>
      </c>
      <c r="P39" s="50" t="s">
        <v>116</v>
      </c>
      <c r="Q39" s="8">
        <f t="shared" si="6"/>
        <v>0.80982905982905984</v>
      </c>
    </row>
    <row r="40" spans="1:18" ht="14.45" x14ac:dyDescent="0.3">
      <c r="A40" s="13">
        <v>40878</v>
      </c>
      <c r="B40" s="8">
        <v>0.9</v>
      </c>
      <c r="C40" s="45" t="s">
        <v>169</v>
      </c>
      <c r="D40" s="45" t="s">
        <v>160</v>
      </c>
      <c r="E40" s="8">
        <f t="shared" si="2"/>
        <v>0.75354838709677419</v>
      </c>
      <c r="F40" s="45" t="s">
        <v>155</v>
      </c>
      <c r="G40" s="45" t="s">
        <v>150</v>
      </c>
      <c r="H40" s="8">
        <f t="shared" si="3"/>
        <v>0.72340425531914898</v>
      </c>
      <c r="I40" s="45" t="s">
        <v>145</v>
      </c>
      <c r="J40" s="45" t="s">
        <v>141</v>
      </c>
      <c r="K40" s="8">
        <f t="shared" si="4"/>
        <v>0.58904109589041098</v>
      </c>
      <c r="L40" s="45" t="s">
        <v>136</v>
      </c>
      <c r="M40" s="45" t="s">
        <v>129</v>
      </c>
      <c r="N40" s="8">
        <f t="shared" si="5"/>
        <v>0.73282442748091603</v>
      </c>
      <c r="O40" s="50" t="s">
        <v>124</v>
      </c>
      <c r="P40" s="50" t="s">
        <v>117</v>
      </c>
      <c r="Q40" s="8">
        <f t="shared" si="6"/>
        <v>0.81596452328159641</v>
      </c>
    </row>
    <row r="41" spans="1:18" ht="14.45" x14ac:dyDescent="0.3">
      <c r="A41" s="13">
        <v>40909</v>
      </c>
      <c r="B41" s="8">
        <v>0.9</v>
      </c>
      <c r="C41" s="45" t="s">
        <v>168</v>
      </c>
      <c r="D41" s="45" t="s">
        <v>161</v>
      </c>
      <c r="E41" s="8">
        <f t="shared" si="2"/>
        <v>0.73606729758149314</v>
      </c>
      <c r="F41" s="45" t="s">
        <v>156</v>
      </c>
      <c r="G41" s="45" t="s">
        <v>151</v>
      </c>
      <c r="H41" s="8">
        <f>G41/F41</f>
        <v>0.80645161290322576</v>
      </c>
      <c r="I41" s="45" t="s">
        <v>144</v>
      </c>
      <c r="J41" s="45" t="s">
        <v>129</v>
      </c>
      <c r="K41" s="8">
        <f>J41/I41</f>
        <v>0.58181818181818179</v>
      </c>
      <c r="L41" s="45" t="s">
        <v>135</v>
      </c>
      <c r="M41" s="45" t="s">
        <v>130</v>
      </c>
      <c r="N41" s="8">
        <f>M41/L41</f>
        <v>0.70348837209302328</v>
      </c>
      <c r="O41" s="50" t="s">
        <v>123</v>
      </c>
      <c r="P41" s="50" t="s">
        <v>118</v>
      </c>
      <c r="Q41" s="8">
        <f>P41/O41</f>
        <v>0.78442028985507251</v>
      </c>
    </row>
    <row r="42" spans="1:18" ht="14.45" x14ac:dyDescent="0.3">
      <c r="A42" s="13">
        <v>40940</v>
      </c>
      <c r="B42" s="8">
        <v>0.9</v>
      </c>
      <c r="C42" s="45" t="s">
        <v>167</v>
      </c>
      <c r="D42" s="45" t="s">
        <v>162</v>
      </c>
      <c r="E42" s="8">
        <f t="shared" si="2"/>
        <v>0.84952978056426331</v>
      </c>
      <c r="F42" s="45"/>
      <c r="G42" s="45"/>
      <c r="H42" s="8">
        <v>0.85</v>
      </c>
      <c r="I42" s="45"/>
      <c r="J42" s="45"/>
      <c r="K42" s="8">
        <v>0.65</v>
      </c>
      <c r="L42" s="45"/>
      <c r="M42" s="45"/>
      <c r="N42" s="8">
        <v>0.87</v>
      </c>
      <c r="O42" s="50"/>
      <c r="P42" s="50"/>
      <c r="Q42" s="8">
        <v>0.89</v>
      </c>
    </row>
    <row r="43" spans="1:18" ht="14.45" x14ac:dyDescent="0.3">
      <c r="A43" s="13">
        <v>40969</v>
      </c>
      <c r="B43" s="8">
        <v>0.9</v>
      </c>
      <c r="C43" s="45" t="s">
        <v>166</v>
      </c>
      <c r="D43" s="45" t="s">
        <v>163</v>
      </c>
      <c r="E43" s="8">
        <f t="shared" si="2"/>
        <v>0.74455205811138014</v>
      </c>
      <c r="F43" s="45" t="s">
        <v>157</v>
      </c>
      <c r="G43" s="45" t="s">
        <v>152</v>
      </c>
      <c r="H43" s="8">
        <f t="shared" ref="H43:H50" si="7">G43/F43</f>
        <v>0.8035714285714286</v>
      </c>
      <c r="I43" s="45" t="s">
        <v>143</v>
      </c>
      <c r="J43" s="45" t="s">
        <v>93</v>
      </c>
      <c r="K43" s="8">
        <f>J43/I43</f>
        <v>0.61635220125786161</v>
      </c>
      <c r="L43" s="45" t="s">
        <v>134</v>
      </c>
      <c r="M43" s="45" t="s">
        <v>131</v>
      </c>
      <c r="N43" s="8">
        <f>M43/L43</f>
        <v>0.6645962732919255</v>
      </c>
      <c r="O43" s="50" t="s">
        <v>122</v>
      </c>
      <c r="P43" s="50" t="s">
        <v>119</v>
      </c>
      <c r="Q43" s="8">
        <f t="shared" ref="Q43:Q50" si="8">P43/O43</f>
        <v>0.81111111111111112</v>
      </c>
    </row>
    <row r="44" spans="1:18" ht="14.45" x14ac:dyDescent="0.3">
      <c r="A44" s="13">
        <v>41000</v>
      </c>
      <c r="B44" s="8">
        <v>0.9</v>
      </c>
      <c r="C44" s="45" t="s">
        <v>165</v>
      </c>
      <c r="D44" s="45" t="s">
        <v>164</v>
      </c>
      <c r="E44" s="8">
        <f t="shared" si="2"/>
        <v>0.73529411764705888</v>
      </c>
      <c r="F44" s="45" t="s">
        <v>152</v>
      </c>
      <c r="G44" s="45" t="s">
        <v>153</v>
      </c>
      <c r="H44" s="8">
        <f t="shared" si="7"/>
        <v>0.71111111111111114</v>
      </c>
      <c r="I44" s="45" t="s">
        <v>106</v>
      </c>
      <c r="J44" s="45" t="s">
        <v>142</v>
      </c>
      <c r="K44" s="8">
        <f t="shared" ref="K44:K50" si="9">J44/I44</f>
        <v>0.5722543352601156</v>
      </c>
      <c r="L44" s="45" t="s">
        <v>133</v>
      </c>
      <c r="M44" s="45" t="s">
        <v>132</v>
      </c>
      <c r="N44" s="8">
        <f t="shared" ref="N44:N50" si="10">M44/L44</f>
        <v>0.68</v>
      </c>
      <c r="O44" s="50" t="s">
        <v>121</v>
      </c>
      <c r="P44" s="50" t="s">
        <v>120</v>
      </c>
      <c r="Q44" s="8">
        <f t="shared" si="8"/>
        <v>0.8191964285714286</v>
      </c>
    </row>
    <row r="45" spans="1:18" ht="14.45" x14ac:dyDescent="0.3">
      <c r="A45" s="13">
        <v>41030</v>
      </c>
      <c r="B45" s="8">
        <v>0.9</v>
      </c>
      <c r="C45" s="54">
        <v>716</v>
      </c>
      <c r="D45" s="54">
        <v>551</v>
      </c>
      <c r="E45" s="8">
        <f t="shared" si="2"/>
        <v>0.76955307262569828</v>
      </c>
      <c r="F45" s="54">
        <v>57</v>
      </c>
      <c r="G45" s="54">
        <v>46</v>
      </c>
      <c r="H45" s="8">
        <f t="shared" si="7"/>
        <v>0.80701754385964908</v>
      </c>
      <c r="I45" s="54">
        <v>116</v>
      </c>
      <c r="J45" s="54">
        <v>71</v>
      </c>
      <c r="K45" s="8">
        <f t="shared" si="9"/>
        <v>0.61206896551724133</v>
      </c>
      <c r="L45" s="54">
        <v>152</v>
      </c>
      <c r="M45" s="54">
        <v>102</v>
      </c>
      <c r="N45" s="8">
        <f t="shared" si="10"/>
        <v>0.67105263157894735</v>
      </c>
      <c r="O45" s="55">
        <v>391</v>
      </c>
      <c r="P45" s="55">
        <v>332</v>
      </c>
      <c r="Q45" s="8">
        <f t="shared" si="8"/>
        <v>0.84910485933503832</v>
      </c>
    </row>
    <row r="46" spans="1:18" ht="14.45" x14ac:dyDescent="0.3">
      <c r="A46" s="13">
        <v>41061</v>
      </c>
      <c r="B46" s="8">
        <v>0.9</v>
      </c>
      <c r="C46" s="90">
        <f>F46+I46+L46+O46</f>
        <v>657</v>
      </c>
      <c r="D46" s="90">
        <f>G46+J46+M46+P46</f>
        <v>539</v>
      </c>
      <c r="E46" s="8">
        <f t="shared" si="2"/>
        <v>0.82039573820395739</v>
      </c>
      <c r="F46" s="45" t="s">
        <v>151</v>
      </c>
      <c r="G46" s="45" t="s">
        <v>89</v>
      </c>
      <c r="H46" s="8">
        <f t="shared" si="7"/>
        <v>0.88</v>
      </c>
      <c r="I46" s="45" t="s">
        <v>215</v>
      </c>
      <c r="J46" s="45" t="s">
        <v>216</v>
      </c>
      <c r="K46" s="8">
        <f t="shared" si="9"/>
        <v>0.72277227722772275</v>
      </c>
      <c r="L46" s="45" t="s">
        <v>190</v>
      </c>
      <c r="M46" s="45" t="s">
        <v>217</v>
      </c>
      <c r="N46" s="8">
        <f t="shared" si="10"/>
        <v>0.73333333333333328</v>
      </c>
      <c r="O46" s="50" t="s">
        <v>189</v>
      </c>
      <c r="P46" s="50" t="s">
        <v>218</v>
      </c>
      <c r="Q46" s="8">
        <f t="shared" si="8"/>
        <v>0.86528497409326421</v>
      </c>
      <c r="R46">
        <v>7</v>
      </c>
    </row>
    <row r="47" spans="1:18" ht="14.45" x14ac:dyDescent="0.3">
      <c r="A47" s="13">
        <v>41091</v>
      </c>
      <c r="B47" s="8">
        <v>0.9</v>
      </c>
      <c r="C47" s="45" t="s">
        <v>245</v>
      </c>
      <c r="D47" s="45" t="s">
        <v>246</v>
      </c>
      <c r="E47" s="8">
        <f t="shared" si="2"/>
        <v>0.74583333333333335</v>
      </c>
      <c r="F47" s="45" t="s">
        <v>150</v>
      </c>
      <c r="G47" s="45" t="s">
        <v>247</v>
      </c>
      <c r="H47" s="8">
        <f t="shared" si="7"/>
        <v>0.70588235294117652</v>
      </c>
      <c r="I47" s="45" t="s">
        <v>248</v>
      </c>
      <c r="J47" s="45" t="s">
        <v>249</v>
      </c>
      <c r="K47" s="8">
        <f t="shared" si="9"/>
        <v>0.6785714285714286</v>
      </c>
      <c r="L47" s="45" t="s">
        <v>215</v>
      </c>
      <c r="M47" s="45" t="s">
        <v>250</v>
      </c>
      <c r="N47" s="8">
        <f t="shared" si="10"/>
        <v>0.84158415841584155</v>
      </c>
      <c r="O47" s="50" t="s">
        <v>251</v>
      </c>
      <c r="P47" s="50" t="s">
        <v>106</v>
      </c>
      <c r="Q47" s="8">
        <f t="shared" si="8"/>
        <v>0.74248927038626611</v>
      </c>
      <c r="R47">
        <v>96</v>
      </c>
    </row>
    <row r="48" spans="1:18" ht="14.45" x14ac:dyDescent="0.3">
      <c r="A48" s="13">
        <v>41122</v>
      </c>
      <c r="B48" s="8">
        <v>0.9</v>
      </c>
      <c r="C48" s="45" t="s">
        <v>240</v>
      </c>
      <c r="D48" s="45" t="s">
        <v>241</v>
      </c>
      <c r="E48" s="8">
        <f t="shared" si="2"/>
        <v>0.82905982905982911</v>
      </c>
      <c r="F48" s="45" t="s">
        <v>89</v>
      </c>
      <c r="G48" s="45" t="s">
        <v>242</v>
      </c>
      <c r="H48" s="8">
        <f t="shared" si="7"/>
        <v>0.90909090909090906</v>
      </c>
      <c r="I48" s="45" t="s">
        <v>109</v>
      </c>
      <c r="J48" s="45" t="s">
        <v>146</v>
      </c>
      <c r="K48" s="8">
        <f t="shared" si="9"/>
        <v>0.71165644171779141</v>
      </c>
      <c r="L48" s="45" t="s">
        <v>143</v>
      </c>
      <c r="M48" s="45" t="s">
        <v>130</v>
      </c>
      <c r="N48" s="8">
        <f t="shared" si="10"/>
        <v>0.76100628930817615</v>
      </c>
      <c r="O48" s="50" t="s">
        <v>243</v>
      </c>
      <c r="P48" s="50" t="s">
        <v>244</v>
      </c>
      <c r="Q48" s="8">
        <f t="shared" si="8"/>
        <v>0.88741721854304634</v>
      </c>
      <c r="R48">
        <v>29</v>
      </c>
    </row>
    <row r="49" spans="1:18" ht="14.45" x14ac:dyDescent="0.3">
      <c r="A49" s="13">
        <v>41153</v>
      </c>
      <c r="B49" s="8">
        <v>0.9</v>
      </c>
      <c r="C49" s="45" t="s">
        <v>272</v>
      </c>
      <c r="D49" s="45" t="s">
        <v>271</v>
      </c>
      <c r="E49" s="8">
        <f t="shared" si="2"/>
        <v>0.64958158995815896</v>
      </c>
      <c r="F49" s="45" t="s">
        <v>92</v>
      </c>
      <c r="G49" s="45" t="s">
        <v>273</v>
      </c>
      <c r="H49" s="8">
        <f t="shared" si="7"/>
        <v>0.61224489795918369</v>
      </c>
      <c r="I49" s="45" t="s">
        <v>251</v>
      </c>
      <c r="J49" s="45" t="s">
        <v>274</v>
      </c>
      <c r="K49" s="8">
        <f t="shared" si="9"/>
        <v>0.52360515021459231</v>
      </c>
      <c r="L49" s="45" t="s">
        <v>275</v>
      </c>
      <c r="M49" s="45" t="s">
        <v>188</v>
      </c>
      <c r="N49" s="8">
        <f t="shared" si="10"/>
        <v>0.57317073170731703</v>
      </c>
      <c r="O49" s="50" t="s">
        <v>82</v>
      </c>
      <c r="P49" s="50" t="s">
        <v>276</v>
      </c>
      <c r="Q49" s="8">
        <f t="shared" si="8"/>
        <v>0.76635514018691586</v>
      </c>
      <c r="R49">
        <v>31</v>
      </c>
    </row>
    <row r="50" spans="1:18" x14ac:dyDescent="0.25">
      <c r="A50" s="13">
        <v>41183</v>
      </c>
      <c r="B50" s="8">
        <v>0.9</v>
      </c>
      <c r="C50" s="45" t="s">
        <v>295</v>
      </c>
      <c r="D50" s="45" t="s">
        <v>296</v>
      </c>
      <c r="E50" s="8">
        <f t="shared" si="2"/>
        <v>0.65402405180388534</v>
      </c>
      <c r="F50" s="45" t="s">
        <v>297</v>
      </c>
      <c r="G50" s="45" t="s">
        <v>298</v>
      </c>
      <c r="H50" s="8">
        <f t="shared" si="7"/>
        <v>0.45454545454545453</v>
      </c>
      <c r="I50" s="45" t="s">
        <v>280</v>
      </c>
      <c r="J50" s="45" t="s">
        <v>127</v>
      </c>
      <c r="K50" s="8">
        <f t="shared" si="9"/>
        <v>0.54112554112554112</v>
      </c>
      <c r="L50" s="45" t="s">
        <v>200</v>
      </c>
      <c r="M50" s="45" t="s">
        <v>86</v>
      </c>
      <c r="N50" s="8">
        <f t="shared" si="10"/>
        <v>0.67680608365019013</v>
      </c>
      <c r="O50" s="50" t="s">
        <v>299</v>
      </c>
      <c r="P50" s="50" t="s">
        <v>116</v>
      </c>
      <c r="Q50" s="8">
        <f t="shared" si="8"/>
        <v>0.71240601503759393</v>
      </c>
      <c r="R50" s="114">
        <v>22</v>
      </c>
    </row>
    <row r="51" spans="1:18" x14ac:dyDescent="0.25">
      <c r="A51" s="13">
        <v>41214</v>
      </c>
      <c r="B51" s="8">
        <v>0.9</v>
      </c>
      <c r="C51" s="45" t="s">
        <v>319</v>
      </c>
      <c r="D51" s="45" t="s">
        <v>320</v>
      </c>
      <c r="E51" s="8">
        <f t="shared" ref="E51:E54" si="11">D51/C51</f>
        <v>0.74647887323943662</v>
      </c>
      <c r="F51" s="45" t="s">
        <v>321</v>
      </c>
      <c r="G51" s="45" t="s">
        <v>148</v>
      </c>
      <c r="H51" s="8">
        <f t="shared" ref="H51:H54" si="12">G51/F51</f>
        <v>0.58333333333333337</v>
      </c>
      <c r="I51" s="45" t="s">
        <v>267</v>
      </c>
      <c r="J51" s="45" t="s">
        <v>322</v>
      </c>
      <c r="K51" s="8">
        <f t="shared" ref="K51:K54" si="13">J51/I51</f>
        <v>0.62983425414364635</v>
      </c>
      <c r="L51" s="45" t="s">
        <v>323</v>
      </c>
      <c r="M51" s="45" t="s">
        <v>258</v>
      </c>
      <c r="N51" s="8">
        <f t="shared" ref="N51:N54" si="14">M51/L51</f>
        <v>0.73076923076923073</v>
      </c>
      <c r="O51" s="50" t="s">
        <v>324</v>
      </c>
      <c r="P51" s="50" t="s">
        <v>325</v>
      </c>
      <c r="Q51" s="8">
        <f t="shared" ref="Q51:Q54" si="15">P51/O51</f>
        <v>0.81275720164609055</v>
      </c>
      <c r="R51">
        <v>29</v>
      </c>
    </row>
    <row r="52" spans="1:18" x14ac:dyDescent="0.25">
      <c r="A52" s="13">
        <v>41244</v>
      </c>
      <c r="B52" s="8">
        <v>0.9</v>
      </c>
      <c r="C52" s="45" t="s">
        <v>338</v>
      </c>
      <c r="D52" s="45" t="s">
        <v>339</v>
      </c>
      <c r="E52" s="8">
        <f t="shared" si="11"/>
        <v>0.72453371592539451</v>
      </c>
      <c r="F52" s="45" t="s">
        <v>340</v>
      </c>
      <c r="G52" s="45" t="s">
        <v>175</v>
      </c>
      <c r="H52" s="8">
        <f t="shared" si="12"/>
        <v>0.6</v>
      </c>
      <c r="I52" s="45" t="s">
        <v>199</v>
      </c>
      <c r="J52" s="45" t="s">
        <v>341</v>
      </c>
      <c r="K52" s="8">
        <f t="shared" si="13"/>
        <v>0.50609756097560976</v>
      </c>
      <c r="L52" s="45" t="s">
        <v>96</v>
      </c>
      <c r="M52" s="45" t="s">
        <v>342</v>
      </c>
      <c r="N52" s="8">
        <f t="shared" si="14"/>
        <v>0.70748299319727892</v>
      </c>
      <c r="O52" s="50" t="s">
        <v>343</v>
      </c>
      <c r="P52" s="50" t="s">
        <v>344</v>
      </c>
      <c r="Q52" s="8">
        <f t="shared" si="15"/>
        <v>0.83606557377049184</v>
      </c>
      <c r="R52">
        <v>28</v>
      </c>
    </row>
    <row r="53" spans="1:18" x14ac:dyDescent="0.25">
      <c r="A53" s="13">
        <v>41275</v>
      </c>
      <c r="B53" s="8">
        <v>0.9</v>
      </c>
      <c r="C53" s="45" t="s">
        <v>350</v>
      </c>
      <c r="D53" s="45" t="s">
        <v>351</v>
      </c>
      <c r="E53" s="8">
        <f t="shared" si="11"/>
        <v>0.79647058823529415</v>
      </c>
      <c r="F53" s="45" t="s">
        <v>217</v>
      </c>
      <c r="G53" s="45" t="s">
        <v>352</v>
      </c>
      <c r="H53" s="8">
        <f t="shared" si="12"/>
        <v>0.76136363636363635</v>
      </c>
      <c r="I53" s="45" t="s">
        <v>353</v>
      </c>
      <c r="J53" s="45" t="s">
        <v>144</v>
      </c>
      <c r="K53" s="8">
        <f t="shared" si="13"/>
        <v>0.77830188679245282</v>
      </c>
      <c r="L53" s="45" t="s">
        <v>354</v>
      </c>
      <c r="M53" s="45" t="s">
        <v>147</v>
      </c>
      <c r="N53" s="8">
        <f t="shared" si="14"/>
        <v>0.76063829787234039</v>
      </c>
      <c r="O53" s="50" t="s">
        <v>355</v>
      </c>
      <c r="P53" s="50" t="s">
        <v>356</v>
      </c>
      <c r="Q53" s="8">
        <f t="shared" si="15"/>
        <v>0.83425414364640882</v>
      </c>
      <c r="R53">
        <v>32</v>
      </c>
    </row>
    <row r="54" spans="1:18" x14ac:dyDescent="0.25">
      <c r="A54" s="13">
        <v>41306</v>
      </c>
      <c r="B54" s="8">
        <v>0.9</v>
      </c>
      <c r="C54" s="45" t="s">
        <v>380</v>
      </c>
      <c r="D54" s="45" t="s">
        <v>381</v>
      </c>
      <c r="E54" s="8">
        <f t="shared" si="11"/>
        <v>0.80065359477124187</v>
      </c>
      <c r="F54" s="45" t="s">
        <v>151</v>
      </c>
      <c r="G54" s="45" t="s">
        <v>151</v>
      </c>
      <c r="H54" s="8">
        <f t="shared" si="12"/>
        <v>1</v>
      </c>
      <c r="I54" s="45" t="s">
        <v>286</v>
      </c>
      <c r="J54" s="45" t="s">
        <v>77</v>
      </c>
      <c r="K54" s="8">
        <f t="shared" si="13"/>
        <v>0.77375565610859731</v>
      </c>
      <c r="L54" s="54">
        <v>188</v>
      </c>
      <c r="M54" s="54">
        <v>143</v>
      </c>
      <c r="N54" s="8">
        <f t="shared" si="14"/>
        <v>0.76063829787234039</v>
      </c>
      <c r="O54" s="50" t="s">
        <v>382</v>
      </c>
      <c r="P54" s="50" t="s">
        <v>383</v>
      </c>
      <c r="Q54" s="8">
        <f t="shared" si="15"/>
        <v>0.80827886710239649</v>
      </c>
      <c r="R54">
        <v>24</v>
      </c>
    </row>
    <row r="55" spans="1:18" x14ac:dyDescent="0.25">
      <c r="A55" s="13">
        <v>41334</v>
      </c>
      <c r="B55" s="8">
        <v>0.9</v>
      </c>
      <c r="C55" s="45" t="s">
        <v>401</v>
      </c>
      <c r="D55" s="45" t="s">
        <v>402</v>
      </c>
      <c r="E55" s="8">
        <f t="shared" ref="E55:E60" si="16">D55/C55</f>
        <v>0.8431793770139635</v>
      </c>
      <c r="F55" s="45" t="s">
        <v>214</v>
      </c>
      <c r="G55" s="45" t="s">
        <v>396</v>
      </c>
      <c r="H55" s="8">
        <f t="shared" ref="H55:H72" si="17">G55/F55</f>
        <v>0.98484848484848486</v>
      </c>
      <c r="I55" s="45" t="s">
        <v>348</v>
      </c>
      <c r="J55" s="45" t="s">
        <v>103</v>
      </c>
      <c r="K55" s="8">
        <f t="shared" ref="K55:K72" si="18">J55/I55</f>
        <v>0.84816753926701571</v>
      </c>
      <c r="L55" s="54">
        <v>214</v>
      </c>
      <c r="M55" s="54">
        <v>176</v>
      </c>
      <c r="N55" s="8">
        <f t="shared" ref="N55:N72" si="19">M55/L55</f>
        <v>0.82242990654205606</v>
      </c>
      <c r="O55" s="50" t="s">
        <v>403</v>
      </c>
      <c r="P55" s="50" t="s">
        <v>404</v>
      </c>
      <c r="Q55" s="8">
        <f t="shared" ref="Q55:Q72" si="20">P55/O55</f>
        <v>0.83043478260869563</v>
      </c>
      <c r="R55">
        <v>29</v>
      </c>
    </row>
    <row r="56" spans="1:18" x14ac:dyDescent="0.25">
      <c r="A56" s="13">
        <v>41365</v>
      </c>
      <c r="B56" s="8">
        <v>0.9</v>
      </c>
      <c r="C56" s="45" t="s">
        <v>412</v>
      </c>
      <c r="D56" s="45" t="s">
        <v>413</v>
      </c>
      <c r="E56" s="8">
        <f t="shared" si="16"/>
        <v>0.8304568527918782</v>
      </c>
      <c r="F56" s="45" t="s">
        <v>414</v>
      </c>
      <c r="G56" s="45" t="s">
        <v>239</v>
      </c>
      <c r="H56" s="8">
        <f t="shared" si="17"/>
        <v>0.971830985915493</v>
      </c>
      <c r="I56" s="45" t="s">
        <v>415</v>
      </c>
      <c r="J56" s="45" t="s">
        <v>416</v>
      </c>
      <c r="K56" s="8">
        <f t="shared" si="18"/>
        <v>0.77272727272727271</v>
      </c>
      <c r="L56" s="54">
        <v>198</v>
      </c>
      <c r="M56" s="54">
        <v>170</v>
      </c>
      <c r="N56" s="8">
        <f t="shared" si="19"/>
        <v>0.85858585858585856</v>
      </c>
      <c r="O56" s="50" t="s">
        <v>417</v>
      </c>
      <c r="P56" s="50" t="s">
        <v>418</v>
      </c>
      <c r="Q56" s="8">
        <f t="shared" si="20"/>
        <v>0.82037037037037042</v>
      </c>
      <c r="R56">
        <v>30</v>
      </c>
    </row>
    <row r="57" spans="1:18" x14ac:dyDescent="0.25">
      <c r="A57" s="13">
        <v>41395</v>
      </c>
      <c r="B57" s="8">
        <v>0.9</v>
      </c>
      <c r="C57" s="45" t="s">
        <v>425</v>
      </c>
      <c r="D57" s="45" t="s">
        <v>426</v>
      </c>
      <c r="E57" s="8">
        <f t="shared" si="16"/>
        <v>0.88254665203073546</v>
      </c>
      <c r="F57" s="45" t="s">
        <v>427</v>
      </c>
      <c r="G57" s="45" t="s">
        <v>297</v>
      </c>
      <c r="H57" s="8">
        <f t="shared" si="17"/>
        <v>0.93220338983050843</v>
      </c>
      <c r="I57" s="45" t="s">
        <v>267</v>
      </c>
      <c r="J57" s="45" t="s">
        <v>330</v>
      </c>
      <c r="K57" s="8">
        <f t="shared" si="18"/>
        <v>0.79558011049723754</v>
      </c>
      <c r="L57" s="54">
        <v>178</v>
      </c>
      <c r="M57" s="54">
        <v>158</v>
      </c>
      <c r="N57" s="8">
        <f t="shared" si="19"/>
        <v>0.88764044943820219</v>
      </c>
      <c r="O57" s="50" t="s">
        <v>428</v>
      </c>
      <c r="P57" s="50" t="s">
        <v>429</v>
      </c>
      <c r="Q57" s="8">
        <f t="shared" si="20"/>
        <v>0.90669371196754567</v>
      </c>
      <c r="R57">
        <v>27</v>
      </c>
    </row>
    <row r="58" spans="1:18" x14ac:dyDescent="0.25">
      <c r="A58" s="13">
        <v>41426</v>
      </c>
      <c r="B58" s="8">
        <v>0.9</v>
      </c>
      <c r="C58" s="45" t="s">
        <v>442</v>
      </c>
      <c r="D58" s="45" t="s">
        <v>443</v>
      </c>
      <c r="E58" s="8">
        <f t="shared" si="16"/>
        <v>0.87425149700598803</v>
      </c>
      <c r="F58" s="45" t="s">
        <v>155</v>
      </c>
      <c r="G58" s="45" t="s">
        <v>152</v>
      </c>
      <c r="H58" s="8">
        <f t="shared" si="17"/>
        <v>0.95744680851063835</v>
      </c>
      <c r="I58" s="45" t="s">
        <v>85</v>
      </c>
      <c r="J58" s="45" t="s">
        <v>444</v>
      </c>
      <c r="K58" s="8">
        <f t="shared" si="18"/>
        <v>0.83783783783783783</v>
      </c>
      <c r="L58" s="54">
        <v>142</v>
      </c>
      <c r="M58" s="54">
        <v>125</v>
      </c>
      <c r="N58" s="8">
        <f t="shared" si="19"/>
        <v>0.88028169014084512</v>
      </c>
      <c r="O58" s="50" t="s">
        <v>445</v>
      </c>
      <c r="P58" s="50" t="s">
        <v>446</v>
      </c>
      <c r="Q58" s="8">
        <f t="shared" si="20"/>
        <v>0.87550200803212852</v>
      </c>
      <c r="R58">
        <v>23</v>
      </c>
    </row>
    <row r="59" spans="1:18" x14ac:dyDescent="0.25">
      <c r="A59" s="13">
        <v>41456</v>
      </c>
      <c r="B59" s="8">
        <v>0.9</v>
      </c>
      <c r="C59" s="45" t="s">
        <v>455</v>
      </c>
      <c r="D59" s="45" t="s">
        <v>456</v>
      </c>
      <c r="E59" s="8">
        <f t="shared" si="16"/>
        <v>0.85031847133757965</v>
      </c>
      <c r="F59" s="45" t="s">
        <v>414</v>
      </c>
      <c r="G59" s="45" t="s">
        <v>457</v>
      </c>
      <c r="H59" s="8">
        <f t="shared" si="17"/>
        <v>0.95774647887323938</v>
      </c>
      <c r="I59" s="45" t="s">
        <v>94</v>
      </c>
      <c r="J59" s="45" t="s">
        <v>144</v>
      </c>
      <c r="K59" s="8">
        <f t="shared" si="18"/>
        <v>0.77464788732394363</v>
      </c>
      <c r="L59" s="54">
        <v>221</v>
      </c>
      <c r="M59" s="54">
        <v>195</v>
      </c>
      <c r="N59" s="8">
        <f t="shared" si="19"/>
        <v>0.88235294117647056</v>
      </c>
      <c r="O59" s="50" t="s">
        <v>458</v>
      </c>
      <c r="P59" s="50" t="s">
        <v>373</v>
      </c>
      <c r="Q59" s="8">
        <f t="shared" si="20"/>
        <v>0.85354691075514877</v>
      </c>
      <c r="R59">
        <v>36</v>
      </c>
    </row>
    <row r="60" spans="1:18" x14ac:dyDescent="0.25">
      <c r="A60" s="13">
        <v>41487</v>
      </c>
      <c r="B60" s="8">
        <v>0.9</v>
      </c>
      <c r="C60" s="45" t="s">
        <v>461</v>
      </c>
      <c r="D60" s="45" t="s">
        <v>462</v>
      </c>
      <c r="E60" s="8">
        <f t="shared" si="16"/>
        <v>0.85032537960954446</v>
      </c>
      <c r="F60" s="45" t="s">
        <v>463</v>
      </c>
      <c r="G60" s="45" t="s">
        <v>155</v>
      </c>
      <c r="H60" s="8">
        <f t="shared" si="17"/>
        <v>0.90384615384615385</v>
      </c>
      <c r="I60" s="45" t="s">
        <v>379</v>
      </c>
      <c r="J60" s="45" t="s">
        <v>464</v>
      </c>
      <c r="K60" s="8">
        <f t="shared" si="18"/>
        <v>0.83597883597883593</v>
      </c>
      <c r="L60" s="54">
        <v>197</v>
      </c>
      <c r="M60" s="54">
        <v>168</v>
      </c>
      <c r="N60" s="8">
        <f t="shared" si="19"/>
        <v>0.85279187817258884</v>
      </c>
      <c r="O60" s="50" t="s">
        <v>465</v>
      </c>
      <c r="P60" s="50" t="s">
        <v>407</v>
      </c>
      <c r="Q60" s="8">
        <f t="shared" si="20"/>
        <v>0.84917355371900827</v>
      </c>
      <c r="R60">
        <v>32</v>
      </c>
    </row>
    <row r="61" spans="1:18" x14ac:dyDescent="0.25">
      <c r="A61" s="13">
        <v>41518</v>
      </c>
      <c r="B61" s="8">
        <v>0.9</v>
      </c>
      <c r="C61" s="45" t="s">
        <v>469</v>
      </c>
      <c r="D61" s="45" t="s">
        <v>470</v>
      </c>
      <c r="E61" s="8">
        <f t="shared" ref="E61:E72" si="21">D61/C61</f>
        <v>0.86650774731823599</v>
      </c>
      <c r="F61" s="45" t="s">
        <v>216</v>
      </c>
      <c r="G61" s="45" t="s">
        <v>457</v>
      </c>
      <c r="H61" s="8">
        <f t="shared" si="17"/>
        <v>0.93150684931506844</v>
      </c>
      <c r="I61" s="45" t="s">
        <v>471</v>
      </c>
      <c r="J61" s="45" t="s">
        <v>143</v>
      </c>
      <c r="K61" s="8">
        <f t="shared" si="18"/>
        <v>0.81958762886597936</v>
      </c>
      <c r="L61" s="54">
        <v>190</v>
      </c>
      <c r="M61" s="54">
        <v>167</v>
      </c>
      <c r="N61" s="8">
        <f t="shared" si="19"/>
        <v>0.87894736842105259</v>
      </c>
      <c r="O61" s="50" t="s">
        <v>404</v>
      </c>
      <c r="P61" s="50" t="s">
        <v>390</v>
      </c>
      <c r="Q61" s="8">
        <f t="shared" si="20"/>
        <v>0.87172774869109948</v>
      </c>
      <c r="R61">
        <v>29</v>
      </c>
    </row>
    <row r="62" spans="1:18" x14ac:dyDescent="0.25">
      <c r="A62" s="13">
        <v>41548</v>
      </c>
      <c r="B62" s="8">
        <v>0.9</v>
      </c>
      <c r="C62" s="45" t="s">
        <v>477</v>
      </c>
      <c r="D62" s="45" t="s">
        <v>240</v>
      </c>
      <c r="E62" s="8">
        <f t="shared" si="21"/>
        <v>0.86850477200424181</v>
      </c>
      <c r="F62" s="45" t="s">
        <v>141</v>
      </c>
      <c r="G62" s="45" t="s">
        <v>478</v>
      </c>
      <c r="H62" s="8">
        <f t="shared" si="17"/>
        <v>0.93023255813953487</v>
      </c>
      <c r="I62" s="45" t="s">
        <v>111</v>
      </c>
      <c r="J62" s="45" t="s">
        <v>78</v>
      </c>
      <c r="K62" s="8">
        <f t="shared" si="18"/>
        <v>0.83266932270916338</v>
      </c>
      <c r="L62" s="54">
        <v>176</v>
      </c>
      <c r="M62" s="54">
        <v>154</v>
      </c>
      <c r="N62" s="8">
        <f t="shared" si="19"/>
        <v>0.875</v>
      </c>
      <c r="O62" s="50" t="s">
        <v>479</v>
      </c>
      <c r="P62" s="50" t="s">
        <v>480</v>
      </c>
      <c r="Q62" s="8">
        <f t="shared" si="20"/>
        <v>0.87441860465116283</v>
      </c>
      <c r="R62">
        <v>35</v>
      </c>
    </row>
    <row r="63" spans="1:18" x14ac:dyDescent="0.25">
      <c r="A63" s="13">
        <v>41579</v>
      </c>
      <c r="B63" s="8">
        <v>0.9</v>
      </c>
      <c r="C63" s="45" t="s">
        <v>486</v>
      </c>
      <c r="D63" s="45" t="s">
        <v>487</v>
      </c>
      <c r="E63" s="8">
        <f t="shared" si="21"/>
        <v>0.83844339622641506</v>
      </c>
      <c r="F63" s="45" t="s">
        <v>488</v>
      </c>
      <c r="G63" s="45" t="s">
        <v>216</v>
      </c>
      <c r="H63" s="8">
        <f t="shared" si="17"/>
        <v>0.86904761904761907</v>
      </c>
      <c r="I63" s="45" t="s">
        <v>317</v>
      </c>
      <c r="J63" s="45" t="s">
        <v>489</v>
      </c>
      <c r="K63" s="8">
        <f t="shared" si="18"/>
        <v>0.72105263157894739</v>
      </c>
      <c r="L63" s="54">
        <v>189</v>
      </c>
      <c r="M63" s="54">
        <v>157</v>
      </c>
      <c r="N63" s="8">
        <f t="shared" si="19"/>
        <v>0.8306878306878307</v>
      </c>
      <c r="O63" s="50" t="s">
        <v>490</v>
      </c>
      <c r="P63" s="50" t="s">
        <v>491</v>
      </c>
      <c r="Q63" s="8">
        <f t="shared" si="20"/>
        <v>0.89350649350649347</v>
      </c>
      <c r="R63">
        <v>46</v>
      </c>
    </row>
    <row r="64" spans="1:18" x14ac:dyDescent="0.25">
      <c r="A64" s="13">
        <v>41609</v>
      </c>
      <c r="B64" s="8">
        <v>0.9</v>
      </c>
      <c r="C64" s="45" t="s">
        <v>493</v>
      </c>
      <c r="D64" s="45" t="s">
        <v>67</v>
      </c>
      <c r="E64" s="8">
        <f t="shared" si="21"/>
        <v>0.79217877094972067</v>
      </c>
      <c r="F64" s="45" t="s">
        <v>438</v>
      </c>
      <c r="G64" s="45" t="s">
        <v>421</v>
      </c>
      <c r="H64" s="8">
        <f t="shared" si="17"/>
        <v>0.87155963302752293</v>
      </c>
      <c r="I64" s="45" t="s">
        <v>94</v>
      </c>
      <c r="J64" s="45" t="s">
        <v>330</v>
      </c>
      <c r="K64" s="8">
        <f t="shared" si="18"/>
        <v>0.676056338028169</v>
      </c>
      <c r="L64" s="54">
        <v>164</v>
      </c>
      <c r="M64" s="54">
        <v>129</v>
      </c>
      <c r="N64" s="8">
        <f t="shared" si="19"/>
        <v>0.78658536585365857</v>
      </c>
      <c r="O64" s="50" t="s">
        <v>494</v>
      </c>
      <c r="P64" s="50" t="s">
        <v>495</v>
      </c>
      <c r="Q64" s="8">
        <f t="shared" si="20"/>
        <v>0.83374083129584353</v>
      </c>
      <c r="R64">
        <v>28</v>
      </c>
    </row>
    <row r="65" spans="1:18" x14ac:dyDescent="0.25">
      <c r="A65" s="13">
        <v>41640</v>
      </c>
      <c r="B65" s="8">
        <v>0.9</v>
      </c>
      <c r="C65" s="45" t="s">
        <v>500</v>
      </c>
      <c r="D65" s="45" t="s">
        <v>284</v>
      </c>
      <c r="E65" s="8">
        <f t="shared" si="21"/>
        <v>0.78296382730455072</v>
      </c>
      <c r="F65" s="45" t="s">
        <v>199</v>
      </c>
      <c r="G65" s="45" t="s">
        <v>437</v>
      </c>
      <c r="H65" s="8">
        <f t="shared" si="17"/>
        <v>0.85365853658536583</v>
      </c>
      <c r="I65" s="45" t="s">
        <v>78</v>
      </c>
      <c r="J65" s="45" t="s">
        <v>145</v>
      </c>
      <c r="K65" s="8">
        <f t="shared" si="18"/>
        <v>0.69856459330143539</v>
      </c>
      <c r="L65" s="54">
        <v>167</v>
      </c>
      <c r="M65" s="54">
        <v>125</v>
      </c>
      <c r="N65" s="8">
        <f t="shared" si="19"/>
        <v>0.74850299401197606</v>
      </c>
      <c r="O65" s="50" t="s">
        <v>501</v>
      </c>
      <c r="P65" s="50" t="s">
        <v>502</v>
      </c>
      <c r="Q65" s="8">
        <f t="shared" si="20"/>
        <v>0.82018927444794953</v>
      </c>
      <c r="R65">
        <v>28</v>
      </c>
    </row>
    <row r="66" spans="1:18" x14ac:dyDescent="0.25">
      <c r="A66" s="13">
        <v>41671</v>
      </c>
      <c r="B66" s="8">
        <v>0.9</v>
      </c>
      <c r="C66" s="45" t="s">
        <v>506</v>
      </c>
      <c r="D66" s="45" t="s">
        <v>507</v>
      </c>
      <c r="E66" s="8">
        <f t="shared" si="21"/>
        <v>0.7863046044864227</v>
      </c>
      <c r="F66" s="45" t="s">
        <v>215</v>
      </c>
      <c r="G66" s="45" t="s">
        <v>457</v>
      </c>
      <c r="H66" s="8">
        <f t="shared" si="17"/>
        <v>0.67326732673267331</v>
      </c>
      <c r="I66" s="45" t="s">
        <v>508</v>
      </c>
      <c r="J66" s="45" t="s">
        <v>96</v>
      </c>
      <c r="K66" s="8">
        <f t="shared" si="18"/>
        <v>0.68372093023255809</v>
      </c>
      <c r="L66" s="54">
        <v>173</v>
      </c>
      <c r="M66" s="54">
        <v>132</v>
      </c>
      <c r="N66" s="8">
        <f t="shared" si="19"/>
        <v>0.76300578034682076</v>
      </c>
      <c r="O66" s="50" t="s">
        <v>246</v>
      </c>
      <c r="P66" s="50" t="s">
        <v>509</v>
      </c>
      <c r="Q66" s="8">
        <f t="shared" si="20"/>
        <v>0.89106145251396651</v>
      </c>
      <c r="R66">
        <v>24</v>
      </c>
    </row>
    <row r="67" spans="1:18" x14ac:dyDescent="0.25">
      <c r="A67" s="13">
        <v>41699</v>
      </c>
      <c r="B67" s="8">
        <v>0.9</v>
      </c>
      <c r="C67" s="45" t="s">
        <v>515</v>
      </c>
      <c r="D67" s="45" t="s">
        <v>516</v>
      </c>
      <c r="E67" s="8">
        <f t="shared" si="21"/>
        <v>0.79210779595765157</v>
      </c>
      <c r="F67" s="45" t="s">
        <v>141</v>
      </c>
      <c r="G67" s="45" t="s">
        <v>517</v>
      </c>
      <c r="H67" s="8">
        <f t="shared" si="17"/>
        <v>0.83720930232558144</v>
      </c>
      <c r="I67" s="45" t="s">
        <v>453</v>
      </c>
      <c r="J67" s="45" t="s">
        <v>98</v>
      </c>
      <c r="K67" s="8">
        <f t="shared" si="18"/>
        <v>0.67241379310344829</v>
      </c>
      <c r="L67" s="54">
        <v>189</v>
      </c>
      <c r="M67" s="54">
        <v>156</v>
      </c>
      <c r="N67" s="8">
        <f t="shared" si="19"/>
        <v>0.82539682539682535</v>
      </c>
      <c r="O67" s="50" t="s">
        <v>299</v>
      </c>
      <c r="P67" s="50" t="s">
        <v>518</v>
      </c>
      <c r="Q67" s="8">
        <f t="shared" si="20"/>
        <v>0.88909774436090228</v>
      </c>
      <c r="R67">
        <v>22</v>
      </c>
    </row>
    <row r="68" spans="1:18" x14ac:dyDescent="0.25">
      <c r="A68" s="13">
        <v>41730</v>
      </c>
      <c r="B68" s="8">
        <v>0.9</v>
      </c>
      <c r="C68" s="45" t="s">
        <v>520</v>
      </c>
      <c r="D68" s="45" t="s">
        <v>462</v>
      </c>
      <c r="E68" s="8">
        <f t="shared" si="21"/>
        <v>0.77089478859390359</v>
      </c>
      <c r="F68" s="45" t="s">
        <v>129</v>
      </c>
      <c r="G68" s="45" t="s">
        <v>521</v>
      </c>
      <c r="H68" s="8">
        <f t="shared" si="17"/>
        <v>0.85416666666666663</v>
      </c>
      <c r="I68" s="45" t="s">
        <v>522</v>
      </c>
      <c r="J68" s="45" t="s">
        <v>113</v>
      </c>
      <c r="K68" s="8">
        <f t="shared" si="18"/>
        <v>0.7142857142857143</v>
      </c>
      <c r="L68" s="54">
        <v>165</v>
      </c>
      <c r="M68" s="54">
        <v>109</v>
      </c>
      <c r="N68" s="8">
        <f t="shared" si="19"/>
        <v>0.66060606060606064</v>
      </c>
      <c r="O68" s="50" t="s">
        <v>523</v>
      </c>
      <c r="P68" s="50" t="s">
        <v>524</v>
      </c>
      <c r="Q68" s="8">
        <f t="shared" si="20"/>
        <v>0.82092555331991957</v>
      </c>
      <c r="R68">
        <v>37</v>
      </c>
    </row>
    <row r="69" spans="1:18" x14ac:dyDescent="0.25">
      <c r="A69" s="13">
        <v>41760</v>
      </c>
      <c r="B69" s="8">
        <v>0.9</v>
      </c>
      <c r="C69" s="45" t="s">
        <v>527</v>
      </c>
      <c r="D69" s="45" t="s">
        <v>528</v>
      </c>
      <c r="E69" s="8">
        <f t="shared" si="21"/>
        <v>0.78260869565217395</v>
      </c>
      <c r="F69" s="45" t="s">
        <v>139</v>
      </c>
      <c r="G69" s="45" t="s">
        <v>422</v>
      </c>
      <c r="H69" s="8">
        <f t="shared" si="17"/>
        <v>0.89010989010989006</v>
      </c>
      <c r="I69" s="45" t="s">
        <v>529</v>
      </c>
      <c r="J69" s="45" t="s">
        <v>135</v>
      </c>
      <c r="K69" s="8">
        <f t="shared" si="18"/>
        <v>0.70491803278688525</v>
      </c>
      <c r="L69" s="54">
        <v>176</v>
      </c>
      <c r="M69" s="54">
        <v>121</v>
      </c>
      <c r="N69" s="8">
        <f t="shared" si="19"/>
        <v>0.6875</v>
      </c>
      <c r="O69" s="50" t="s">
        <v>530</v>
      </c>
      <c r="P69" s="50" t="s">
        <v>531</v>
      </c>
      <c r="Q69" s="8">
        <f t="shared" si="20"/>
        <v>0.83433133732534925</v>
      </c>
      <c r="R69">
        <v>39</v>
      </c>
    </row>
    <row r="70" spans="1:18" x14ac:dyDescent="0.25">
      <c r="A70" s="13">
        <v>41791</v>
      </c>
      <c r="B70" s="8">
        <v>0.9</v>
      </c>
      <c r="C70" s="45" t="s">
        <v>533</v>
      </c>
      <c r="D70" s="45" t="s">
        <v>534</v>
      </c>
      <c r="E70" s="8">
        <f t="shared" si="21"/>
        <v>0.82139148494288683</v>
      </c>
      <c r="F70" s="45" t="s">
        <v>422</v>
      </c>
      <c r="G70" s="45" t="s">
        <v>216</v>
      </c>
      <c r="H70" s="8">
        <f t="shared" si="17"/>
        <v>0.90123456790123457</v>
      </c>
      <c r="I70" s="45" t="s">
        <v>349</v>
      </c>
      <c r="J70" s="45" t="s">
        <v>248</v>
      </c>
      <c r="K70" s="8">
        <f t="shared" si="18"/>
        <v>0.61538461538461542</v>
      </c>
      <c r="L70" s="54">
        <v>173</v>
      </c>
      <c r="M70" s="54">
        <v>135</v>
      </c>
      <c r="N70" s="8">
        <f t="shared" si="19"/>
        <v>0.78034682080924855</v>
      </c>
      <c r="O70" s="50" t="s">
        <v>535</v>
      </c>
      <c r="P70" s="50" t="s">
        <v>536</v>
      </c>
      <c r="Q70" s="8">
        <f t="shared" si="20"/>
        <v>0.89373814041745736</v>
      </c>
      <c r="R70">
        <v>28</v>
      </c>
    </row>
    <row r="71" spans="1:18" x14ac:dyDescent="0.25">
      <c r="A71" s="13">
        <v>41821</v>
      </c>
      <c r="B71" s="8">
        <v>0.9</v>
      </c>
      <c r="C71" s="45" t="s">
        <v>538</v>
      </c>
      <c r="D71" s="45" t="s">
        <v>539</v>
      </c>
      <c r="E71" s="8">
        <f t="shared" si="21"/>
        <v>0.83103879849812268</v>
      </c>
      <c r="F71" s="45" t="s">
        <v>521</v>
      </c>
      <c r="G71" s="45" t="s">
        <v>540</v>
      </c>
      <c r="H71" s="8">
        <f t="shared" si="17"/>
        <v>0.85365853658536583</v>
      </c>
      <c r="I71" s="45" t="s">
        <v>519</v>
      </c>
      <c r="J71" s="45" t="s">
        <v>248</v>
      </c>
      <c r="K71" s="8">
        <f t="shared" si="18"/>
        <v>0.75167785234899331</v>
      </c>
      <c r="L71" s="54">
        <v>137</v>
      </c>
      <c r="M71" s="54">
        <v>109</v>
      </c>
      <c r="N71" s="8">
        <f t="shared" si="19"/>
        <v>0.79562043795620441</v>
      </c>
      <c r="O71" s="50" t="s">
        <v>541</v>
      </c>
      <c r="P71" s="50" t="s">
        <v>373</v>
      </c>
      <c r="Q71" s="8">
        <f t="shared" si="20"/>
        <v>0.86542923433874708</v>
      </c>
      <c r="R71">
        <v>28</v>
      </c>
    </row>
    <row r="72" spans="1:18" x14ac:dyDescent="0.25">
      <c r="A72" s="13">
        <v>41852</v>
      </c>
      <c r="B72" s="8">
        <v>0.9</v>
      </c>
      <c r="C72" s="45" t="s">
        <v>477</v>
      </c>
      <c r="D72" s="45" t="s">
        <v>549</v>
      </c>
      <c r="E72" s="8">
        <f t="shared" si="21"/>
        <v>0.84199363732767762</v>
      </c>
      <c r="F72" s="45" t="s">
        <v>156</v>
      </c>
      <c r="G72" s="45" t="s">
        <v>297</v>
      </c>
      <c r="H72" s="8">
        <f t="shared" si="17"/>
        <v>0.88709677419354838</v>
      </c>
      <c r="I72" s="45" t="s">
        <v>318</v>
      </c>
      <c r="J72" s="45" t="s">
        <v>104</v>
      </c>
      <c r="K72" s="8">
        <f t="shared" si="18"/>
        <v>0.72580645161290325</v>
      </c>
      <c r="L72" s="54">
        <v>154</v>
      </c>
      <c r="M72" s="54">
        <v>120</v>
      </c>
      <c r="N72" s="8">
        <f t="shared" si="19"/>
        <v>0.77922077922077926</v>
      </c>
      <c r="O72" s="50" t="s">
        <v>550</v>
      </c>
      <c r="P72" s="50" t="s">
        <v>465</v>
      </c>
      <c r="Q72" s="8">
        <f t="shared" si="20"/>
        <v>0.89463955637707948</v>
      </c>
      <c r="R72">
        <v>28</v>
      </c>
    </row>
    <row r="73" spans="1:18" x14ac:dyDescent="0.25">
      <c r="A73" s="13"/>
      <c r="B73" s="8"/>
      <c r="C73" s="45"/>
      <c r="D73" s="45"/>
      <c r="E73" s="8"/>
      <c r="F73" s="45"/>
      <c r="G73" s="45"/>
      <c r="H73" s="8"/>
      <c r="I73" s="45"/>
      <c r="J73" s="45"/>
      <c r="K73" s="8"/>
      <c r="L73" s="45"/>
      <c r="M73" s="45"/>
      <c r="N73" s="8"/>
      <c r="O73" s="50"/>
      <c r="P73" s="50"/>
      <c r="Q73" s="8"/>
    </row>
    <row r="74" spans="1:18" x14ac:dyDescent="0.25">
      <c r="A74" s="13"/>
      <c r="B74" s="8"/>
      <c r="C74" s="45"/>
      <c r="D74" s="45"/>
      <c r="E74" s="8"/>
      <c r="F74" s="45"/>
      <c r="G74" s="45"/>
      <c r="H74" s="8"/>
      <c r="I74" s="45"/>
      <c r="J74" s="45"/>
      <c r="K74" s="8"/>
      <c r="L74" s="45"/>
      <c r="M74" s="45"/>
      <c r="N74" s="8"/>
      <c r="O74" s="47"/>
      <c r="P74" s="47"/>
      <c r="Q74" s="8"/>
    </row>
    <row r="75" spans="1:18" x14ac:dyDescent="0.25">
      <c r="A75" s="13"/>
      <c r="B75" s="8"/>
      <c r="C75" s="45"/>
      <c r="D75" s="45"/>
      <c r="E75" s="8"/>
      <c r="F75" s="45"/>
      <c r="G75" s="45"/>
      <c r="H75" s="8"/>
      <c r="I75" s="45"/>
      <c r="J75" s="45"/>
      <c r="K75" s="8"/>
      <c r="L75" s="45"/>
      <c r="M75" s="45"/>
      <c r="N75" s="8"/>
      <c r="O75" s="47"/>
      <c r="P75" s="47"/>
      <c r="Q75" s="8"/>
    </row>
    <row r="76" spans="1:18" x14ac:dyDescent="0.25">
      <c r="A76" s="13"/>
      <c r="B76" s="8"/>
      <c r="C76" s="45"/>
      <c r="D76" s="45"/>
      <c r="E76" s="8"/>
      <c r="F76" s="45"/>
      <c r="G76" s="45"/>
      <c r="H76" s="8"/>
      <c r="I76" s="45"/>
      <c r="J76" s="45"/>
      <c r="K76" s="8"/>
      <c r="L76" s="45"/>
      <c r="M76" s="45"/>
      <c r="N76" s="8"/>
      <c r="O76" s="47"/>
      <c r="P76" s="47"/>
      <c r="Q76" s="8"/>
    </row>
    <row r="77" spans="1:18" x14ac:dyDescent="0.25">
      <c r="A77" s="13"/>
      <c r="B77" s="8"/>
      <c r="C77" s="45"/>
      <c r="D77" s="45"/>
      <c r="E77" s="8"/>
      <c r="F77" s="45"/>
      <c r="G77" s="45"/>
      <c r="H77" s="8"/>
      <c r="I77" s="45"/>
      <c r="J77" s="45"/>
      <c r="K77" s="8"/>
      <c r="L77" s="45"/>
      <c r="M77" s="45"/>
      <c r="N77" s="8"/>
      <c r="O77" s="47"/>
      <c r="P77" s="47"/>
      <c r="Q77" s="8"/>
    </row>
    <row r="78" spans="1:18" x14ac:dyDescent="0.25">
      <c r="A78" s="13"/>
      <c r="B78" s="8"/>
      <c r="C78" s="45"/>
      <c r="D78" s="45"/>
      <c r="E78" s="8"/>
      <c r="F78" s="45"/>
      <c r="G78" s="45"/>
      <c r="H78" s="8"/>
      <c r="I78" s="45"/>
      <c r="J78" s="45"/>
      <c r="K78" s="8"/>
      <c r="L78" s="45"/>
      <c r="M78" s="45"/>
      <c r="N78" s="8"/>
      <c r="O78" s="47"/>
      <c r="P78" s="47"/>
      <c r="Q78" s="8"/>
    </row>
    <row r="79" spans="1:18" x14ac:dyDescent="0.25">
      <c r="A79" s="13"/>
      <c r="B79" s="8"/>
      <c r="C79" s="45"/>
      <c r="D79" s="45"/>
      <c r="E79" s="8"/>
      <c r="F79" s="45"/>
      <c r="G79" s="45"/>
      <c r="H79" s="8"/>
      <c r="I79" s="45"/>
      <c r="J79" s="45"/>
      <c r="K79" s="8"/>
      <c r="L79" s="45"/>
      <c r="M79" s="45"/>
      <c r="N79" s="8"/>
      <c r="O79" s="47"/>
      <c r="P79" s="47"/>
      <c r="Q79" s="8"/>
    </row>
    <row r="80" spans="1:18" x14ac:dyDescent="0.25">
      <c r="A80" s="13"/>
      <c r="B80" s="8"/>
      <c r="C80" s="45"/>
      <c r="D80" s="45"/>
      <c r="E80" s="8"/>
      <c r="F80" s="45"/>
      <c r="G80" s="45"/>
      <c r="H80" s="8"/>
      <c r="I80" s="45"/>
      <c r="J80" s="45"/>
      <c r="K80" s="8"/>
      <c r="L80" s="45"/>
      <c r="M80" s="45"/>
      <c r="N80" s="8"/>
      <c r="O80" s="47"/>
      <c r="P80" s="47"/>
      <c r="Q80" s="8"/>
    </row>
    <row r="81" spans="1:17" x14ac:dyDescent="0.25">
      <c r="A81" s="13"/>
      <c r="B81" s="8"/>
      <c r="C81" s="45"/>
      <c r="D81" s="45"/>
      <c r="E81" s="8"/>
      <c r="F81" s="45"/>
      <c r="G81" s="45"/>
      <c r="H81" s="8"/>
      <c r="I81" s="45"/>
      <c r="J81" s="45"/>
      <c r="K81" s="8"/>
      <c r="L81" s="45"/>
      <c r="M81" s="45"/>
      <c r="N81" s="8"/>
      <c r="O81" s="47"/>
      <c r="P81" s="47"/>
      <c r="Q81" s="8"/>
    </row>
    <row r="82" spans="1:17" x14ac:dyDescent="0.25">
      <c r="A82" s="13"/>
      <c r="B82" s="8"/>
      <c r="C82" s="45"/>
      <c r="D82" s="45"/>
      <c r="E82" s="8"/>
      <c r="F82" s="45"/>
      <c r="G82" s="45"/>
      <c r="H82" s="8"/>
      <c r="I82" s="45"/>
      <c r="J82" s="45"/>
      <c r="K82" s="8"/>
      <c r="L82" s="45"/>
      <c r="M82" s="45"/>
      <c r="N82" s="8"/>
      <c r="O82" s="47"/>
      <c r="P82" s="47"/>
      <c r="Q82" s="8"/>
    </row>
    <row r="83" spans="1:17" x14ac:dyDescent="0.25">
      <c r="A83" s="3"/>
      <c r="B83" s="11"/>
      <c r="C83" s="46"/>
      <c r="D83" s="46"/>
      <c r="E83" s="11"/>
      <c r="F83" s="46"/>
      <c r="G83" s="46"/>
      <c r="H83" s="11"/>
      <c r="I83" s="46"/>
      <c r="J83" s="46"/>
      <c r="K83" s="11"/>
      <c r="L83" s="46"/>
      <c r="M83" s="46"/>
      <c r="N83" s="11"/>
      <c r="O83" s="47"/>
      <c r="P83" s="47"/>
      <c r="Q83" s="11"/>
    </row>
    <row r="84" spans="1:17" x14ac:dyDescent="0.25">
      <c r="A84" s="3"/>
      <c r="B84" s="11"/>
      <c r="C84" s="46"/>
      <c r="D84" s="46"/>
      <c r="E84" s="11"/>
      <c r="F84" s="46"/>
      <c r="G84" s="46"/>
      <c r="H84" s="11"/>
      <c r="I84" s="46"/>
      <c r="J84" s="46"/>
      <c r="K84" s="11"/>
      <c r="L84" s="46"/>
      <c r="M84" s="46"/>
      <c r="N84" s="11"/>
      <c r="O84" s="47"/>
      <c r="P84" s="47"/>
      <c r="Q84" s="11"/>
    </row>
    <row r="85" spans="1:17" x14ac:dyDescent="0.25">
      <c r="A85" s="3"/>
      <c r="B85" s="11"/>
      <c r="C85" s="46"/>
      <c r="D85" s="46"/>
      <c r="E85" s="11"/>
      <c r="F85" s="46"/>
      <c r="G85" s="46"/>
      <c r="H85" s="11"/>
      <c r="I85" s="46"/>
      <c r="J85" s="46"/>
      <c r="K85" s="11"/>
      <c r="L85" s="46"/>
      <c r="M85" s="46"/>
      <c r="N85" s="11"/>
      <c r="O85" s="47"/>
      <c r="P85" s="47"/>
      <c r="Q85" s="11"/>
    </row>
    <row r="86" spans="1:17" x14ac:dyDescent="0.25">
      <c r="A86" s="3"/>
      <c r="B86" s="11"/>
      <c r="C86" s="46"/>
      <c r="D86" s="46"/>
      <c r="E86" s="11"/>
      <c r="F86" s="46"/>
      <c r="G86" s="46"/>
      <c r="H86" s="11"/>
      <c r="I86" s="46"/>
      <c r="J86" s="46"/>
      <c r="K86" s="11"/>
      <c r="L86" s="46"/>
      <c r="M86" s="46"/>
      <c r="N86" s="11"/>
      <c r="O86" s="47"/>
      <c r="P86" s="47"/>
      <c r="Q86" s="11"/>
    </row>
    <row r="87" spans="1:17" x14ac:dyDescent="0.25">
      <c r="A87" s="3"/>
      <c r="B87" s="11"/>
      <c r="C87" s="46"/>
      <c r="D87" s="46"/>
      <c r="E87" s="11"/>
      <c r="F87" s="46"/>
      <c r="G87" s="46"/>
      <c r="H87" s="11"/>
      <c r="I87" s="46"/>
      <c r="J87" s="46"/>
      <c r="K87" s="11"/>
      <c r="L87" s="46"/>
      <c r="M87" s="46"/>
      <c r="N87" s="11"/>
      <c r="O87" s="47"/>
      <c r="P87" s="47"/>
      <c r="Q87" s="11"/>
    </row>
    <row r="88" spans="1:17" x14ac:dyDescent="0.25">
      <c r="A88" s="3"/>
      <c r="B88" s="11"/>
      <c r="C88" s="46"/>
      <c r="D88" s="46"/>
      <c r="E88" s="11"/>
      <c r="F88" s="46"/>
      <c r="G88" s="46"/>
      <c r="H88" s="11"/>
      <c r="I88" s="46"/>
      <c r="J88" s="46"/>
      <c r="K88" s="11"/>
      <c r="L88" s="46"/>
      <c r="M88" s="46"/>
      <c r="N88" s="11"/>
      <c r="O88" s="47"/>
      <c r="P88" s="47"/>
      <c r="Q88" s="11"/>
    </row>
    <row r="89" spans="1:17" x14ac:dyDescent="0.25">
      <c r="A89" s="3"/>
      <c r="B89" s="11"/>
      <c r="C89" s="46"/>
      <c r="D89" s="46"/>
      <c r="E89" s="11"/>
      <c r="F89" s="46"/>
      <c r="G89" s="46"/>
      <c r="H89" s="11"/>
      <c r="I89" s="46"/>
      <c r="J89" s="46"/>
      <c r="K89" s="11"/>
      <c r="L89" s="46"/>
      <c r="M89" s="46"/>
      <c r="N89" s="11"/>
      <c r="O89" s="47"/>
      <c r="P89" s="47"/>
      <c r="Q89" s="11"/>
    </row>
    <row r="96" spans="1:17" x14ac:dyDescent="0.25">
      <c r="B96" t="s">
        <v>72</v>
      </c>
      <c r="C96" t="s">
        <v>180</v>
      </c>
      <c r="D96"/>
      <c r="E96"/>
      <c r="F96"/>
      <c r="G96"/>
    </row>
    <row r="97" spans="2:9" x14ac:dyDescent="0.25">
      <c r="C97"/>
      <c r="D97"/>
      <c r="E97"/>
      <c r="F97"/>
      <c r="G97"/>
    </row>
    <row r="98" spans="2:9" x14ac:dyDescent="0.25">
      <c r="C98" s="65" t="s">
        <v>0</v>
      </c>
      <c r="D98" s="65" t="s">
        <v>182</v>
      </c>
      <c r="E98" s="65" t="s">
        <v>183</v>
      </c>
      <c r="F98" s="3" t="s">
        <v>187</v>
      </c>
      <c r="G98" s="3" t="s">
        <v>185</v>
      </c>
      <c r="H98" s="3" t="s">
        <v>186</v>
      </c>
      <c r="I98" s="3" t="s">
        <v>192</v>
      </c>
    </row>
    <row r="99" spans="2:9" x14ac:dyDescent="0.25">
      <c r="B99" s="13">
        <v>41061</v>
      </c>
      <c r="C99" s="40">
        <v>559</v>
      </c>
      <c r="D99" s="40">
        <v>210</v>
      </c>
      <c r="E99" s="39">
        <v>0</v>
      </c>
      <c r="F99" s="39">
        <v>25</v>
      </c>
      <c r="G99" s="39">
        <v>22</v>
      </c>
      <c r="H99" s="39">
        <v>5</v>
      </c>
      <c r="I99" s="39">
        <v>4</v>
      </c>
    </row>
    <row r="100" spans="2:9" x14ac:dyDescent="0.25">
      <c r="B100" s="13">
        <v>41091</v>
      </c>
      <c r="C100" s="39">
        <v>640</v>
      </c>
      <c r="D100" s="39">
        <v>339</v>
      </c>
      <c r="E100" s="39">
        <v>114</v>
      </c>
      <c r="F100" s="39">
        <v>47</v>
      </c>
      <c r="G100" s="39">
        <v>47</v>
      </c>
      <c r="H100" s="39">
        <v>19</v>
      </c>
      <c r="I100" s="39">
        <v>14</v>
      </c>
    </row>
    <row r="101" spans="2:9" x14ac:dyDescent="0.25">
      <c r="B101" s="13">
        <v>41122</v>
      </c>
      <c r="C101" s="39">
        <v>722</v>
      </c>
      <c r="D101" s="39">
        <v>374</v>
      </c>
      <c r="E101" s="39">
        <v>169</v>
      </c>
      <c r="F101" s="39">
        <v>84</v>
      </c>
      <c r="G101" s="39">
        <v>67</v>
      </c>
      <c r="H101" s="39">
        <v>26</v>
      </c>
      <c r="I101" s="39">
        <v>2</v>
      </c>
    </row>
    <row r="102" spans="2:9" x14ac:dyDescent="0.25">
      <c r="B102" s="13">
        <v>41153</v>
      </c>
      <c r="C102" s="39">
        <v>569</v>
      </c>
      <c r="D102" s="39">
        <v>310</v>
      </c>
      <c r="E102" s="39">
        <v>150</v>
      </c>
      <c r="F102" s="39">
        <v>73</v>
      </c>
      <c r="G102" s="39">
        <v>35</v>
      </c>
      <c r="H102" s="39">
        <v>1</v>
      </c>
      <c r="I102" s="39">
        <v>0</v>
      </c>
    </row>
    <row r="103" spans="2:9" x14ac:dyDescent="0.25">
      <c r="B103" s="13">
        <v>41183</v>
      </c>
      <c r="C103" s="39">
        <v>402</v>
      </c>
      <c r="D103" s="39">
        <v>296</v>
      </c>
      <c r="E103" s="39">
        <v>66</v>
      </c>
      <c r="F103" s="39">
        <v>29</v>
      </c>
      <c r="G103" s="39">
        <v>11</v>
      </c>
      <c r="H103" s="39">
        <v>0</v>
      </c>
      <c r="I103" s="39">
        <v>0</v>
      </c>
    </row>
    <row r="104" spans="2:9" x14ac:dyDescent="0.25">
      <c r="B104" s="13">
        <v>41214</v>
      </c>
      <c r="C104" s="39">
        <v>451</v>
      </c>
      <c r="D104" s="39">
        <v>340</v>
      </c>
      <c r="E104" s="39">
        <v>85</v>
      </c>
      <c r="F104" s="39">
        <v>26</v>
      </c>
      <c r="G104" s="39">
        <v>0</v>
      </c>
      <c r="H104" s="39">
        <v>0</v>
      </c>
      <c r="I104" s="39">
        <v>0</v>
      </c>
    </row>
    <row r="105" spans="2:9" x14ac:dyDescent="0.25">
      <c r="B105" s="13">
        <v>41244</v>
      </c>
      <c r="C105" s="39">
        <v>341</v>
      </c>
      <c r="D105" s="39">
        <v>208</v>
      </c>
      <c r="E105" s="39">
        <v>93</v>
      </c>
      <c r="F105" s="39">
        <v>34</v>
      </c>
      <c r="G105" s="39">
        <v>6</v>
      </c>
      <c r="H105" s="39">
        <v>0</v>
      </c>
      <c r="I105" s="39">
        <v>0</v>
      </c>
    </row>
    <row r="106" spans="2:9" x14ac:dyDescent="0.25">
      <c r="B106" s="13">
        <v>41275</v>
      </c>
      <c r="C106" s="39">
        <v>545</v>
      </c>
      <c r="D106" s="39">
        <v>422</v>
      </c>
      <c r="E106" s="39">
        <v>89</v>
      </c>
      <c r="F106" s="39">
        <v>34</v>
      </c>
      <c r="G106" s="39">
        <v>0</v>
      </c>
      <c r="H106" s="39">
        <v>0</v>
      </c>
      <c r="I106" s="39">
        <v>0</v>
      </c>
    </row>
    <row r="107" spans="2:9" x14ac:dyDescent="0.25">
      <c r="B107" s="13">
        <v>41306</v>
      </c>
      <c r="C107" s="39">
        <v>460</v>
      </c>
      <c r="D107" s="39">
        <v>353</v>
      </c>
      <c r="E107" s="39">
        <v>107</v>
      </c>
      <c r="F107" s="39">
        <v>0</v>
      </c>
      <c r="G107" s="39">
        <v>0</v>
      </c>
      <c r="H107" s="39">
        <v>0</v>
      </c>
      <c r="I107" s="39">
        <v>0</v>
      </c>
    </row>
    <row r="108" spans="2:9" x14ac:dyDescent="0.25">
      <c r="B108" s="13">
        <v>41334</v>
      </c>
      <c r="C108" s="39">
        <v>468</v>
      </c>
      <c r="D108" s="39">
        <v>381</v>
      </c>
      <c r="E108" s="39">
        <v>87</v>
      </c>
      <c r="F108" s="39">
        <v>0</v>
      </c>
      <c r="G108" s="39">
        <v>0</v>
      </c>
      <c r="H108" s="39">
        <v>0</v>
      </c>
      <c r="I108" s="39">
        <v>0</v>
      </c>
    </row>
    <row r="109" spans="2:9" x14ac:dyDescent="0.25">
      <c r="B109" s="13">
        <v>41365</v>
      </c>
      <c r="C109" s="39">
        <v>388</v>
      </c>
      <c r="D109" s="39">
        <v>302</v>
      </c>
      <c r="E109" s="39">
        <v>86</v>
      </c>
      <c r="F109" s="39">
        <v>0</v>
      </c>
      <c r="G109" s="39">
        <v>0</v>
      </c>
      <c r="H109" s="39">
        <v>0</v>
      </c>
      <c r="I109" s="39">
        <v>0</v>
      </c>
    </row>
    <row r="110" spans="2:9" x14ac:dyDescent="0.25">
      <c r="B110" s="13">
        <v>41395</v>
      </c>
      <c r="C110" s="39">
        <v>410</v>
      </c>
      <c r="D110" s="39">
        <v>352</v>
      </c>
      <c r="E110" s="39">
        <v>57</v>
      </c>
      <c r="F110" s="39">
        <v>1</v>
      </c>
      <c r="G110" s="39">
        <v>0</v>
      </c>
      <c r="H110" s="39">
        <v>0</v>
      </c>
      <c r="I110" s="39">
        <v>0</v>
      </c>
    </row>
    <row r="111" spans="2:9" x14ac:dyDescent="0.25">
      <c r="B111" s="13">
        <v>41426</v>
      </c>
      <c r="C111" s="39">
        <v>453</v>
      </c>
      <c r="D111" s="39">
        <v>367</v>
      </c>
      <c r="E111" s="39">
        <v>85</v>
      </c>
      <c r="F111" s="39">
        <v>1</v>
      </c>
      <c r="G111" s="39">
        <v>0</v>
      </c>
      <c r="H111" s="39">
        <v>0</v>
      </c>
      <c r="I111" s="39">
        <v>0</v>
      </c>
    </row>
    <row r="112" spans="2:9" x14ac:dyDescent="0.25">
      <c r="B112" s="13">
        <v>41456</v>
      </c>
      <c r="C112" s="39">
        <v>384</v>
      </c>
      <c r="D112" s="39">
        <v>312</v>
      </c>
      <c r="E112" s="39">
        <v>71</v>
      </c>
      <c r="F112" s="39">
        <v>1</v>
      </c>
      <c r="G112" s="39">
        <v>0</v>
      </c>
      <c r="H112" s="39">
        <v>0</v>
      </c>
      <c r="I112" s="39">
        <v>0</v>
      </c>
    </row>
    <row r="113" spans="2:10" x14ac:dyDescent="0.25">
      <c r="B113" s="13">
        <v>41487</v>
      </c>
      <c r="C113" s="39">
        <v>350</v>
      </c>
      <c r="D113" s="39">
        <v>290</v>
      </c>
      <c r="E113" s="39">
        <v>60</v>
      </c>
      <c r="F113" s="39">
        <v>0</v>
      </c>
      <c r="G113" s="39">
        <v>0</v>
      </c>
      <c r="H113" s="39">
        <v>0</v>
      </c>
      <c r="I113" s="39">
        <v>0</v>
      </c>
    </row>
    <row r="114" spans="2:10" x14ac:dyDescent="0.25">
      <c r="B114" s="13">
        <v>41518</v>
      </c>
      <c r="C114" s="39">
        <v>356</v>
      </c>
      <c r="D114" s="39">
        <v>277</v>
      </c>
      <c r="E114" s="39">
        <v>79</v>
      </c>
      <c r="F114" s="39">
        <v>0</v>
      </c>
      <c r="G114" s="39">
        <v>0</v>
      </c>
      <c r="H114" s="39">
        <v>0</v>
      </c>
      <c r="I114" s="39">
        <v>0</v>
      </c>
    </row>
    <row r="115" spans="2:10" x14ac:dyDescent="0.25">
      <c r="B115" s="13">
        <v>41548</v>
      </c>
      <c r="C115" s="39">
        <v>469</v>
      </c>
      <c r="D115" s="39">
        <v>391</v>
      </c>
      <c r="E115" s="39">
        <v>69</v>
      </c>
      <c r="F115" s="39">
        <v>9</v>
      </c>
      <c r="G115" s="39">
        <v>0</v>
      </c>
      <c r="H115" s="39">
        <v>0</v>
      </c>
      <c r="I115" s="39">
        <v>0</v>
      </c>
      <c r="J115" s="39"/>
    </row>
    <row r="116" spans="2:10" x14ac:dyDescent="0.25">
      <c r="B116" s="13">
        <v>41579</v>
      </c>
      <c r="C116" s="39">
        <v>472</v>
      </c>
      <c r="D116" s="39">
        <v>371</v>
      </c>
      <c r="E116" s="39">
        <v>92</v>
      </c>
      <c r="F116" s="39">
        <v>8</v>
      </c>
      <c r="G116" s="39">
        <v>1</v>
      </c>
      <c r="H116" s="39">
        <v>0</v>
      </c>
      <c r="I116" s="39">
        <v>0</v>
      </c>
      <c r="J116" s="39"/>
    </row>
    <row r="117" spans="2:10" x14ac:dyDescent="0.25">
      <c r="B117" s="13">
        <v>41609</v>
      </c>
      <c r="C117" s="39">
        <v>350</v>
      </c>
      <c r="D117" s="39">
        <v>202</v>
      </c>
      <c r="E117" s="39">
        <v>113</v>
      </c>
      <c r="F117" s="39">
        <v>31</v>
      </c>
      <c r="G117" s="39">
        <v>4</v>
      </c>
      <c r="H117" s="39">
        <v>0</v>
      </c>
      <c r="I117" s="39">
        <v>0</v>
      </c>
      <c r="J117" s="39"/>
    </row>
    <row r="118" spans="2:10" x14ac:dyDescent="0.25">
      <c r="B118" s="13">
        <v>41640</v>
      </c>
      <c r="C118" s="39">
        <v>593</v>
      </c>
      <c r="D118" s="39">
        <v>429</v>
      </c>
      <c r="E118" s="39">
        <v>98</v>
      </c>
      <c r="F118" s="39">
        <v>49</v>
      </c>
      <c r="G118" s="39">
        <v>17</v>
      </c>
      <c r="H118" s="39">
        <v>0</v>
      </c>
      <c r="I118" s="39">
        <v>0</v>
      </c>
      <c r="J118" s="39"/>
    </row>
    <row r="119" spans="2:10" x14ac:dyDescent="0.25">
      <c r="B119" s="13">
        <v>41671</v>
      </c>
      <c r="C119" s="39">
        <v>637</v>
      </c>
      <c r="D119" s="39">
        <v>421</v>
      </c>
      <c r="E119" s="39">
        <v>132</v>
      </c>
      <c r="F119" s="39">
        <v>43</v>
      </c>
      <c r="G119" s="39">
        <v>40</v>
      </c>
      <c r="H119" s="39">
        <v>1</v>
      </c>
      <c r="I119" s="39">
        <v>0</v>
      </c>
      <c r="J119" s="39"/>
    </row>
    <row r="120" spans="2:10" x14ac:dyDescent="0.25">
      <c r="B120" s="13">
        <v>41699</v>
      </c>
      <c r="C120" s="39">
        <v>580</v>
      </c>
      <c r="D120" s="39">
        <v>349</v>
      </c>
      <c r="E120" s="39">
        <v>141</v>
      </c>
      <c r="F120" s="39">
        <v>60</v>
      </c>
      <c r="G120" s="39">
        <v>29</v>
      </c>
      <c r="H120" s="39">
        <v>1</v>
      </c>
      <c r="I120" s="39">
        <v>0</v>
      </c>
      <c r="J120" s="39"/>
    </row>
    <row r="121" spans="2:10" x14ac:dyDescent="0.25">
      <c r="B121" s="13">
        <v>41730</v>
      </c>
      <c r="C121" s="39">
        <v>621</v>
      </c>
      <c r="D121" s="39">
        <v>377</v>
      </c>
      <c r="E121" s="39">
        <v>134</v>
      </c>
      <c r="F121" s="39">
        <v>61</v>
      </c>
      <c r="G121" s="39">
        <v>46</v>
      </c>
      <c r="H121" s="39">
        <v>3</v>
      </c>
      <c r="I121" s="39">
        <v>0</v>
      </c>
      <c r="J121" s="39"/>
    </row>
    <row r="122" spans="2:10" x14ac:dyDescent="0.25">
      <c r="B122" s="13">
        <v>41760</v>
      </c>
      <c r="C122" s="39">
        <v>501</v>
      </c>
      <c r="D122" s="39">
        <v>320</v>
      </c>
      <c r="E122" s="39">
        <v>117</v>
      </c>
      <c r="F122" s="39">
        <v>41</v>
      </c>
      <c r="G122" s="39">
        <v>14</v>
      </c>
      <c r="H122" s="39">
        <v>9</v>
      </c>
      <c r="I122" s="39">
        <v>0</v>
      </c>
      <c r="J122" s="39"/>
    </row>
    <row r="123" spans="2:10" x14ac:dyDescent="0.25">
      <c r="B123" s="13">
        <v>41791</v>
      </c>
      <c r="C123" s="39">
        <v>480</v>
      </c>
      <c r="D123" s="39">
        <v>311</v>
      </c>
      <c r="E123" s="39">
        <v>98</v>
      </c>
      <c r="F123" s="39">
        <v>28</v>
      </c>
      <c r="G123" s="39">
        <v>38</v>
      </c>
      <c r="H123" s="39">
        <v>5</v>
      </c>
      <c r="I123" s="39">
        <v>0</v>
      </c>
      <c r="J123" s="39"/>
    </row>
    <row r="124" spans="2:10" x14ac:dyDescent="0.25">
      <c r="B124" s="13">
        <v>41821</v>
      </c>
      <c r="C124" s="39">
        <v>573</v>
      </c>
      <c r="D124" s="39">
        <v>316</v>
      </c>
      <c r="E124" s="39">
        <v>109</v>
      </c>
      <c r="F124" s="39">
        <v>84</v>
      </c>
      <c r="G124" s="39">
        <v>55</v>
      </c>
      <c r="H124" s="39">
        <v>9</v>
      </c>
      <c r="I124" s="39">
        <v>0</v>
      </c>
      <c r="J124" s="39"/>
    </row>
    <row r="125" spans="2:10" x14ac:dyDescent="0.25">
      <c r="B125" s="13">
        <v>41852</v>
      </c>
      <c r="C125" s="39">
        <v>682</v>
      </c>
      <c r="D125" s="39">
        <v>373</v>
      </c>
      <c r="E125" s="39">
        <v>119</v>
      </c>
      <c r="F125" s="39">
        <v>88</v>
      </c>
      <c r="G125" s="39">
        <v>91</v>
      </c>
      <c r="H125" s="39">
        <v>10</v>
      </c>
      <c r="I125" s="39">
        <v>1</v>
      </c>
      <c r="J125" s="39"/>
    </row>
    <row r="141" spans="1:10" x14ac:dyDescent="0.25">
      <c r="A141" s="4"/>
    </row>
    <row r="142" spans="1:10" x14ac:dyDescent="0.25">
      <c r="B142" s="29"/>
      <c r="C142" s="29"/>
      <c r="D142" s="29"/>
      <c r="H142" s="39"/>
      <c r="I142" s="39"/>
      <c r="J142" s="39"/>
    </row>
    <row r="143" spans="1:10" x14ac:dyDescent="0.25">
      <c r="B143" s="29"/>
      <c r="C143" s="29"/>
      <c r="D143" s="54"/>
      <c r="F143"/>
    </row>
    <row r="144" spans="1:10" x14ac:dyDescent="0.25">
      <c r="B144" s="29"/>
      <c r="C144" s="29"/>
      <c r="D144" s="54"/>
      <c r="F144"/>
    </row>
    <row r="145" spans="2:6" x14ac:dyDescent="0.25">
      <c r="B145" s="29"/>
      <c r="C145" s="29"/>
      <c r="D145" s="54"/>
      <c r="F145"/>
    </row>
  </sheetData>
  <pageMargins left="0.25" right="0.25" top="0.75" bottom="0.75" header="0.3" footer="0.3"/>
  <pageSetup scale="46" orientation="portrait" r:id="rId1"/>
  <rowBreaks count="1" manualBreakCount="1">
    <brk id="22" max="16383" man="1"/>
  </rowBreaks>
  <colBreaks count="2" manualBreakCount="2">
    <brk id="4" max="1048575" man="1"/>
    <brk id="18" max="1048575" man="1"/>
  </colBreaks>
  <ignoredErrors>
    <ignoredError sqref="O38:P44 L38:M44 I38:J44 F38:G44 C38:D44 F46:G46 L46:M46 O46:P46 I46:J46 O48:P48 L48:M48 I48:J48 F48:G48 C48:D48 O47:P47 L47:M47 I47:J47 F47:G47 C47:D47 C49:D49 F49:G49 I49:J49 O49:P49 L49:M49 C50:D50 C51:D51 F51:G51 I51:J51 L51:M51 O51:P51 F50:G50 I50:J50 L50:M50 O50:P50 R50 C52:P52 C53:D53 O53:P53 L53:M53 I53:K53 F53:G53 N54:P54 I54:J54 F54:G54 C54:D54 C55:Q55 C56:P56 C57:Q57 C58 D58:Q58 C59:R59 O60:P60 I60:J60 F60:G60 C60:D60 C61:D61 F61:P61 C62:Q62 C63:P63 C64:Q64 C65:E65 I65:P65 F65:G65 C66:R66 C67:P67 C68:P68 C69:P69 C70:P70 C71:P71 C72:P73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2"/>
  <sheetViews>
    <sheetView zoomScale="90" zoomScaleNormal="90" zoomScaleSheetLayoutView="50" workbookViewId="0">
      <selection activeCell="AA38" sqref="AA38"/>
    </sheetView>
  </sheetViews>
  <sheetFormatPr defaultRowHeight="15" x14ac:dyDescent="0.25"/>
  <cols>
    <col min="1" max="1" width="14.5703125" customWidth="1"/>
    <col min="2" max="3" width="7.85546875" customWidth="1"/>
    <col min="4" max="4" width="13.7109375" style="39" customWidth="1"/>
    <col min="5" max="5" width="13.140625" style="39" customWidth="1"/>
    <col min="6" max="6" width="6.85546875" style="39" customWidth="1"/>
    <col min="7" max="7" width="8.42578125" style="39" customWidth="1"/>
  </cols>
  <sheetData>
    <row r="1" spans="1:7" x14ac:dyDescent="0.25">
      <c r="A1" s="272"/>
      <c r="B1" s="272"/>
      <c r="C1" s="272"/>
      <c r="D1" s="271"/>
      <c r="E1" s="271"/>
    </row>
    <row r="2" spans="1:7" x14ac:dyDescent="0.25">
      <c r="A2" s="277" t="s">
        <v>72</v>
      </c>
      <c r="B2" s="278">
        <v>0.8</v>
      </c>
      <c r="C2" s="278">
        <v>0.95</v>
      </c>
      <c r="D2" s="278">
        <v>1</v>
      </c>
      <c r="E2" s="277" t="s">
        <v>554</v>
      </c>
    </row>
    <row r="3" spans="1:7" x14ac:dyDescent="0.25">
      <c r="A3" s="279">
        <v>41804</v>
      </c>
      <c r="B3" s="275">
        <v>76</v>
      </c>
      <c r="C3" s="275">
        <v>81</v>
      </c>
      <c r="D3" s="275"/>
      <c r="E3" s="276">
        <v>21</v>
      </c>
    </row>
    <row r="4" spans="1:7" x14ac:dyDescent="0.25">
      <c r="A4" s="279">
        <v>41834</v>
      </c>
      <c r="B4" s="275">
        <v>71</v>
      </c>
      <c r="C4" s="275">
        <v>91</v>
      </c>
      <c r="D4" s="275"/>
      <c r="E4" s="276">
        <v>18</v>
      </c>
    </row>
    <row r="5" spans="1:7" x14ac:dyDescent="0.25">
      <c r="A5" s="279">
        <v>41865</v>
      </c>
      <c r="B5" s="275">
        <v>82</v>
      </c>
      <c r="C5" s="275"/>
      <c r="D5" s="275"/>
      <c r="E5" s="280">
        <v>5</v>
      </c>
    </row>
    <row r="6" spans="1:7" s="269" customFormat="1" x14ac:dyDescent="0.25">
      <c r="A6" s="279"/>
      <c r="B6" s="275"/>
      <c r="C6" s="275"/>
      <c r="D6" s="275"/>
      <c r="E6" s="280"/>
      <c r="F6" s="270"/>
      <c r="G6" s="270"/>
    </row>
    <row r="7" spans="1:7" s="269" customFormat="1" x14ac:dyDescent="0.25">
      <c r="A7" s="279"/>
      <c r="B7" s="275"/>
      <c r="C7" s="275"/>
      <c r="D7" s="275"/>
      <c r="E7" s="280"/>
      <c r="F7" s="270"/>
      <c r="G7" s="270"/>
    </row>
    <row r="8" spans="1:7" s="269" customFormat="1" x14ac:dyDescent="0.25">
      <c r="A8" s="279"/>
      <c r="B8" s="275"/>
      <c r="C8" s="275"/>
      <c r="D8" s="275"/>
      <c r="E8" s="280"/>
      <c r="F8" s="270"/>
      <c r="G8" s="270"/>
    </row>
    <row r="9" spans="1:7" s="269" customFormat="1" x14ac:dyDescent="0.25">
      <c r="A9" s="279"/>
      <c r="B9" s="275"/>
      <c r="C9" s="275"/>
      <c r="D9" s="275"/>
      <c r="E9" s="280"/>
      <c r="F9" s="270"/>
      <c r="G9" s="270"/>
    </row>
    <row r="10" spans="1:7" s="269" customFormat="1" x14ac:dyDescent="0.25">
      <c r="A10" s="279"/>
      <c r="B10" s="275"/>
      <c r="C10" s="275"/>
      <c r="D10" s="275"/>
      <c r="E10" s="280"/>
      <c r="F10" s="270"/>
      <c r="G10" s="270"/>
    </row>
    <row r="11" spans="1:7" x14ac:dyDescent="0.25">
      <c r="A11" s="272"/>
      <c r="B11" s="272"/>
      <c r="C11" s="272"/>
      <c r="D11" s="271"/>
      <c r="E11" s="271"/>
    </row>
    <row r="12" spans="1:7" s="269" customFormat="1" x14ac:dyDescent="0.25">
      <c r="A12" s="272"/>
      <c r="B12" s="272"/>
      <c r="C12" s="272"/>
      <c r="D12" s="271"/>
      <c r="E12" s="271"/>
      <c r="F12" s="270"/>
      <c r="G12" s="270"/>
    </row>
    <row r="13" spans="1:7" s="269" customFormat="1" x14ac:dyDescent="0.25">
      <c r="A13" s="272"/>
      <c r="B13" s="272"/>
      <c r="C13" s="272"/>
      <c r="D13" s="271"/>
      <c r="E13" s="271"/>
      <c r="F13" s="270"/>
      <c r="G13" s="270"/>
    </row>
    <row r="16" spans="1:7" x14ac:dyDescent="0.25">
      <c r="B16" s="60" t="s">
        <v>177</v>
      </c>
      <c r="C16" s="60"/>
      <c r="D16" s="59"/>
      <c r="E16"/>
      <c r="F16"/>
      <c r="G16"/>
    </row>
    <row r="17" spans="1:18" x14ac:dyDescent="0.25">
      <c r="A17" t="s">
        <v>72</v>
      </c>
      <c r="B17" s="126" t="s">
        <v>0</v>
      </c>
      <c r="C17" s="126"/>
      <c r="D17" s="126" t="s">
        <v>182</v>
      </c>
      <c r="E17" s="126" t="s">
        <v>193</v>
      </c>
      <c r="F17" s="59" t="s">
        <v>194</v>
      </c>
      <c r="G17" s="59" t="s">
        <v>185</v>
      </c>
      <c r="H17" s="59" t="s">
        <v>186</v>
      </c>
      <c r="I17" s="59" t="s">
        <v>192</v>
      </c>
      <c r="J17" s="59"/>
      <c r="K17" s="59"/>
      <c r="L17" s="126"/>
      <c r="M17" s="126"/>
      <c r="N17" s="126"/>
    </row>
    <row r="18" spans="1:18" x14ac:dyDescent="0.25">
      <c r="A18" t="s">
        <v>184</v>
      </c>
      <c r="B18" s="57">
        <f>SUM(D18:I18)</f>
        <v>678</v>
      </c>
      <c r="C18" s="57"/>
      <c r="D18" s="126">
        <v>520</v>
      </c>
      <c r="E18" s="58">
        <v>101</v>
      </c>
      <c r="F18" s="126">
        <v>29</v>
      </c>
      <c r="G18" s="126">
        <v>22</v>
      </c>
      <c r="H18" s="126">
        <v>0</v>
      </c>
      <c r="I18" s="126">
        <v>6</v>
      </c>
      <c r="J18" s="59"/>
      <c r="K18" s="126"/>
      <c r="L18" s="126"/>
      <c r="M18" s="126"/>
      <c r="N18" s="126"/>
      <c r="O18" s="126"/>
      <c r="P18" s="126"/>
      <c r="Q18" s="126"/>
      <c r="R18" s="126"/>
    </row>
    <row r="19" spans="1:18" x14ac:dyDescent="0.25">
      <c r="A19" s="1" t="s">
        <v>17</v>
      </c>
      <c r="B19" s="126">
        <f>D19+E19+F19+G19+H19+I19</f>
        <v>435</v>
      </c>
      <c r="C19" s="126"/>
      <c r="D19" s="126">
        <v>231</v>
      </c>
      <c r="E19" s="126">
        <v>121</v>
      </c>
      <c r="F19" s="126">
        <v>35</v>
      </c>
      <c r="G19" s="67">
        <v>44</v>
      </c>
      <c r="H19" s="126">
        <v>0</v>
      </c>
      <c r="I19" s="126">
        <v>4</v>
      </c>
      <c r="J19" s="59"/>
      <c r="K19" s="126"/>
      <c r="L19" s="126"/>
      <c r="M19" s="126"/>
      <c r="N19" s="59"/>
      <c r="O19" s="59"/>
      <c r="P19" s="59"/>
      <c r="Q19" s="59"/>
      <c r="R19" s="59"/>
    </row>
    <row r="20" spans="1:18" x14ac:dyDescent="0.25">
      <c r="A20" s="47" t="s">
        <v>369</v>
      </c>
      <c r="B20" s="126">
        <v>915</v>
      </c>
      <c r="C20" s="126"/>
      <c r="D20" s="126">
        <v>614</v>
      </c>
      <c r="E20" s="126">
        <v>116</v>
      </c>
      <c r="F20" s="58">
        <v>113</v>
      </c>
      <c r="G20" s="126">
        <v>66</v>
      </c>
      <c r="H20" s="126">
        <v>1</v>
      </c>
      <c r="I20" s="126">
        <v>5</v>
      </c>
      <c r="J20" s="126"/>
      <c r="K20" s="126"/>
      <c r="L20" s="126"/>
      <c r="M20" s="126"/>
      <c r="N20" s="59"/>
      <c r="O20" s="59"/>
      <c r="P20" s="59"/>
      <c r="Q20" s="59"/>
      <c r="R20" s="59"/>
    </row>
    <row r="21" spans="1:18" x14ac:dyDescent="0.25">
      <c r="A21" t="s">
        <v>232</v>
      </c>
      <c r="B21" s="126">
        <v>973</v>
      </c>
      <c r="C21" s="126"/>
      <c r="D21" s="67">
        <v>628</v>
      </c>
      <c r="E21" s="67">
        <v>90</v>
      </c>
      <c r="F21" s="107">
        <v>105</v>
      </c>
      <c r="G21" s="67">
        <v>133</v>
      </c>
      <c r="H21" s="67">
        <v>12</v>
      </c>
      <c r="I21" s="67">
        <v>5</v>
      </c>
      <c r="J21" s="59"/>
      <c r="K21" s="126"/>
      <c r="L21" s="126"/>
      <c r="M21" s="210"/>
      <c r="N21" s="126"/>
      <c r="O21" s="59"/>
      <c r="P21" s="59"/>
      <c r="Q21" s="59"/>
      <c r="R21" s="59"/>
    </row>
    <row r="22" spans="1:18" x14ac:dyDescent="0.25">
      <c r="A22" s="221" t="s">
        <v>371</v>
      </c>
      <c r="B22" s="126">
        <v>772</v>
      </c>
      <c r="C22" s="126"/>
      <c r="D22" s="67">
        <v>606</v>
      </c>
      <c r="E22" s="67">
        <v>74</v>
      </c>
      <c r="F22" s="107">
        <v>16</v>
      </c>
      <c r="G22" s="67">
        <v>58</v>
      </c>
      <c r="H22" s="67">
        <v>18</v>
      </c>
      <c r="I22" s="67">
        <v>0</v>
      </c>
      <c r="J22" s="59"/>
      <c r="K22" s="126"/>
      <c r="L22" s="126"/>
      <c r="M22" s="126"/>
      <c r="N22" s="58"/>
      <c r="O22" s="126"/>
      <c r="P22" s="126"/>
      <c r="Q22" s="126"/>
      <c r="R22" s="126"/>
    </row>
    <row r="23" spans="1:18" x14ac:dyDescent="0.25">
      <c r="A23" s="47" t="s">
        <v>377</v>
      </c>
      <c r="B23" s="67">
        <v>603</v>
      </c>
      <c r="C23" s="67"/>
      <c r="D23" s="67">
        <v>341</v>
      </c>
      <c r="E23" s="67">
        <v>197</v>
      </c>
      <c r="F23" s="107">
        <v>20</v>
      </c>
      <c r="G23" s="67">
        <v>30</v>
      </c>
      <c r="H23" s="67">
        <v>15</v>
      </c>
      <c r="I23" s="67">
        <v>0</v>
      </c>
      <c r="J23" s="59"/>
      <c r="K23" s="126"/>
      <c r="L23" s="126"/>
      <c r="M23" s="126"/>
      <c r="N23" s="63"/>
      <c r="O23" s="39"/>
      <c r="P23" s="39"/>
      <c r="Q23" s="39"/>
      <c r="R23" s="39"/>
    </row>
    <row r="24" spans="1:18" x14ac:dyDescent="0.25">
      <c r="A24" s="47" t="s">
        <v>372</v>
      </c>
      <c r="B24" s="67">
        <v>711</v>
      </c>
      <c r="C24" s="67"/>
      <c r="D24" s="67">
        <v>454</v>
      </c>
      <c r="E24" s="67">
        <v>75</v>
      </c>
      <c r="F24" s="107">
        <v>102</v>
      </c>
      <c r="G24" s="67">
        <v>66</v>
      </c>
      <c r="H24" s="67">
        <v>8</v>
      </c>
      <c r="I24" s="67">
        <v>6</v>
      </c>
      <c r="J24" s="59"/>
      <c r="K24" s="126"/>
      <c r="L24" s="126"/>
      <c r="M24" s="126"/>
      <c r="N24" s="59"/>
    </row>
    <row r="25" spans="1:18" x14ac:dyDescent="0.25">
      <c r="A25" s="47" t="s">
        <v>346</v>
      </c>
      <c r="B25" s="222">
        <v>209</v>
      </c>
      <c r="C25" s="222"/>
      <c r="D25" s="222">
        <v>131</v>
      </c>
      <c r="E25" s="222">
        <v>32</v>
      </c>
      <c r="F25" s="223">
        <v>15</v>
      </c>
      <c r="G25" s="224">
        <v>39</v>
      </c>
      <c r="H25" s="225">
        <v>0</v>
      </c>
      <c r="I25" s="225">
        <v>8</v>
      </c>
      <c r="J25" s="59"/>
      <c r="K25" s="59"/>
      <c r="L25" s="59"/>
      <c r="M25" s="59"/>
      <c r="N25" s="59"/>
    </row>
    <row r="26" spans="1:18" x14ac:dyDescent="0.25">
      <c r="A26" s="47" t="s">
        <v>39</v>
      </c>
      <c r="B26" s="222">
        <v>149</v>
      </c>
      <c r="C26" s="222"/>
      <c r="D26" s="222">
        <v>112</v>
      </c>
      <c r="E26" s="222">
        <v>20</v>
      </c>
      <c r="F26" s="223">
        <v>9</v>
      </c>
      <c r="G26" s="222">
        <v>7</v>
      </c>
      <c r="H26" s="222">
        <v>0</v>
      </c>
      <c r="I26" s="222">
        <v>1</v>
      </c>
    </row>
    <row r="27" spans="1:18" x14ac:dyDescent="0.25">
      <c r="A27" s="47" t="s">
        <v>389</v>
      </c>
      <c r="B27" s="222">
        <v>243</v>
      </c>
      <c r="C27" s="222"/>
      <c r="D27" s="222">
        <v>234</v>
      </c>
      <c r="E27" s="222">
        <v>10</v>
      </c>
      <c r="F27" s="223">
        <v>1</v>
      </c>
      <c r="G27" s="222">
        <v>1</v>
      </c>
      <c r="H27" s="222">
        <v>0</v>
      </c>
      <c r="I27" s="222">
        <v>0</v>
      </c>
    </row>
    <row r="28" spans="1:18" x14ac:dyDescent="0.25">
      <c r="A28" s="47" t="s">
        <v>20</v>
      </c>
      <c r="B28" s="222">
        <v>395</v>
      </c>
      <c r="C28" s="222"/>
      <c r="D28" s="222">
        <v>268</v>
      </c>
      <c r="E28" s="222">
        <v>125</v>
      </c>
      <c r="F28" s="223">
        <v>2</v>
      </c>
      <c r="G28" s="222">
        <v>0</v>
      </c>
      <c r="H28" s="222">
        <v>0</v>
      </c>
      <c r="I28" s="222">
        <v>0</v>
      </c>
    </row>
    <row r="29" spans="1:18" x14ac:dyDescent="0.25">
      <c r="A29" s="47" t="s">
        <v>19</v>
      </c>
      <c r="B29" s="222">
        <v>512</v>
      </c>
      <c r="C29" s="222"/>
      <c r="D29" s="222">
        <v>268</v>
      </c>
      <c r="E29" s="222">
        <v>148</v>
      </c>
      <c r="F29" s="223">
        <v>95</v>
      </c>
      <c r="G29" s="222">
        <v>1</v>
      </c>
      <c r="H29" s="222">
        <v>0</v>
      </c>
      <c r="I29" s="222">
        <v>0</v>
      </c>
      <c r="J29" s="67"/>
      <c r="K29" s="67"/>
      <c r="L29" s="67"/>
    </row>
    <row r="30" spans="1:18" x14ac:dyDescent="0.25">
      <c r="A30" s="47" t="s">
        <v>18</v>
      </c>
      <c r="B30" s="212">
        <v>588</v>
      </c>
      <c r="C30" s="212"/>
      <c r="D30" s="212">
        <v>284</v>
      </c>
      <c r="E30" s="212">
        <v>140</v>
      </c>
      <c r="F30" s="212">
        <v>97</v>
      </c>
      <c r="G30" s="212">
        <v>67</v>
      </c>
      <c r="H30" s="212">
        <v>0</v>
      </c>
      <c r="I30" s="212">
        <v>0</v>
      </c>
    </row>
    <row r="31" spans="1:18" x14ac:dyDescent="0.25">
      <c r="A31" s="47" t="s">
        <v>17</v>
      </c>
      <c r="B31" s="212">
        <v>491</v>
      </c>
      <c r="C31" s="212"/>
      <c r="D31" s="212">
        <v>287</v>
      </c>
      <c r="E31" s="212">
        <v>137</v>
      </c>
      <c r="F31" s="212">
        <v>67</v>
      </c>
      <c r="G31" s="212">
        <v>0</v>
      </c>
      <c r="H31" s="212">
        <v>0</v>
      </c>
      <c r="I31" s="212">
        <v>0</v>
      </c>
    </row>
    <row r="32" spans="1:18" x14ac:dyDescent="0.25">
      <c r="A32" s="47" t="s">
        <v>466</v>
      </c>
      <c r="B32" s="212">
        <v>591</v>
      </c>
      <c r="C32" s="212"/>
      <c r="D32" s="212">
        <v>279</v>
      </c>
      <c r="E32" s="212">
        <v>118</v>
      </c>
      <c r="F32" s="212">
        <v>130</v>
      </c>
      <c r="G32" s="212">
        <v>64</v>
      </c>
      <c r="H32" s="212">
        <v>0</v>
      </c>
      <c r="I32" s="212">
        <v>0</v>
      </c>
    </row>
    <row r="33" spans="1:9" x14ac:dyDescent="0.25">
      <c r="A33" s="47" t="s">
        <v>232</v>
      </c>
      <c r="B33" s="212">
        <v>563</v>
      </c>
      <c r="C33" s="146"/>
      <c r="D33" s="212">
        <v>272</v>
      </c>
      <c r="E33" s="212">
        <v>162</v>
      </c>
      <c r="F33" s="212">
        <v>91</v>
      </c>
      <c r="G33" s="212">
        <v>38</v>
      </c>
      <c r="H33" s="212">
        <v>0</v>
      </c>
      <c r="I33" s="212">
        <v>0</v>
      </c>
    </row>
    <row r="34" spans="1:9" x14ac:dyDescent="0.25">
      <c r="A34" s="47" t="s">
        <v>371</v>
      </c>
      <c r="B34" s="212">
        <v>410</v>
      </c>
      <c r="C34" s="146"/>
      <c r="D34" s="212">
        <v>361</v>
      </c>
      <c r="E34" s="212">
        <v>49</v>
      </c>
      <c r="F34" s="212">
        <v>0</v>
      </c>
      <c r="G34" s="212">
        <v>0</v>
      </c>
      <c r="H34" s="212">
        <v>0</v>
      </c>
      <c r="I34" s="212">
        <v>0</v>
      </c>
    </row>
    <row r="35" spans="1:9" x14ac:dyDescent="0.25">
      <c r="A35" s="47" t="s">
        <v>377</v>
      </c>
      <c r="B35" s="212">
        <v>304</v>
      </c>
      <c r="C35" s="146"/>
      <c r="D35" s="212">
        <v>131</v>
      </c>
      <c r="E35" s="212">
        <v>173</v>
      </c>
      <c r="F35" s="212">
        <v>0</v>
      </c>
      <c r="G35" s="212">
        <v>0</v>
      </c>
      <c r="H35" s="212">
        <v>0</v>
      </c>
      <c r="I35" s="212">
        <v>0</v>
      </c>
    </row>
    <row r="36" spans="1:9" x14ac:dyDescent="0.25">
      <c r="A36" s="47" t="s">
        <v>372</v>
      </c>
      <c r="B36" s="212">
        <v>834</v>
      </c>
      <c r="C36" s="146"/>
      <c r="D36" s="212">
        <v>239</v>
      </c>
      <c r="E36" s="212">
        <v>318</v>
      </c>
      <c r="F36" s="212">
        <v>225</v>
      </c>
      <c r="G36" s="212">
        <v>52</v>
      </c>
      <c r="H36" s="212">
        <v>0</v>
      </c>
      <c r="I36" s="212">
        <v>0</v>
      </c>
    </row>
    <row r="37" spans="1:9" x14ac:dyDescent="0.25">
      <c r="A37" s="47" t="s">
        <v>503</v>
      </c>
      <c r="B37" s="212">
        <v>733</v>
      </c>
      <c r="C37" s="146"/>
      <c r="D37" s="212">
        <v>241</v>
      </c>
      <c r="E37" s="212">
        <v>125</v>
      </c>
      <c r="F37" s="212">
        <v>219</v>
      </c>
      <c r="G37" s="212">
        <v>148</v>
      </c>
      <c r="H37" s="212">
        <v>0</v>
      </c>
      <c r="I37" s="212">
        <v>0</v>
      </c>
    </row>
    <row r="38" spans="1:9" x14ac:dyDescent="0.25">
      <c r="A38" s="47" t="s">
        <v>39</v>
      </c>
      <c r="B38" s="212">
        <v>519</v>
      </c>
      <c r="C38" s="146"/>
      <c r="D38" s="212">
        <v>77</v>
      </c>
      <c r="E38" s="212">
        <v>79</v>
      </c>
      <c r="F38" s="212">
        <v>119</v>
      </c>
      <c r="G38" s="212">
        <v>244</v>
      </c>
      <c r="H38" s="212">
        <v>0</v>
      </c>
      <c r="I38" s="212">
        <v>0</v>
      </c>
    </row>
    <row r="39" spans="1:9" x14ac:dyDescent="0.25">
      <c r="A39" s="47" t="s">
        <v>21</v>
      </c>
      <c r="B39" s="212">
        <v>474</v>
      </c>
      <c r="C39" s="146"/>
      <c r="D39" s="212">
        <v>187</v>
      </c>
      <c r="E39" s="212">
        <v>43</v>
      </c>
      <c r="F39" s="212">
        <v>57</v>
      </c>
      <c r="G39" s="212">
        <v>181</v>
      </c>
      <c r="H39" s="212">
        <v>6</v>
      </c>
      <c r="I39" s="212">
        <v>0</v>
      </c>
    </row>
    <row r="40" spans="1:9" x14ac:dyDescent="0.25">
      <c r="A40" s="47" t="s">
        <v>20</v>
      </c>
      <c r="B40" s="212">
        <v>648</v>
      </c>
      <c r="C40" s="146"/>
      <c r="D40" s="212">
        <v>273</v>
      </c>
      <c r="E40" s="212">
        <v>128</v>
      </c>
      <c r="F40" s="212">
        <v>32</v>
      </c>
      <c r="G40" s="212">
        <v>155</v>
      </c>
      <c r="H40" s="212">
        <v>60</v>
      </c>
      <c r="I40" s="212">
        <v>0</v>
      </c>
    </row>
    <row r="41" spans="1:9" x14ac:dyDescent="0.25">
      <c r="A41" s="47" t="s">
        <v>19</v>
      </c>
      <c r="B41" s="212">
        <v>730</v>
      </c>
      <c r="C41" s="146"/>
      <c r="D41" s="212">
        <v>189</v>
      </c>
      <c r="E41" s="212">
        <v>192</v>
      </c>
      <c r="F41" s="212">
        <v>86</v>
      </c>
      <c r="G41" s="212">
        <v>121</v>
      </c>
      <c r="H41" s="212">
        <v>142</v>
      </c>
      <c r="I41" s="212">
        <v>0</v>
      </c>
    </row>
    <row r="42" spans="1:9" x14ac:dyDescent="0.25">
      <c r="A42" s="47" t="s">
        <v>18</v>
      </c>
      <c r="B42" s="212">
        <v>245</v>
      </c>
      <c r="C42" s="146"/>
      <c r="D42" s="212">
        <v>106</v>
      </c>
      <c r="E42" s="212">
        <v>79</v>
      </c>
      <c r="F42" s="212">
        <v>49</v>
      </c>
      <c r="G42" s="212">
        <v>11</v>
      </c>
      <c r="H42" s="212">
        <v>0</v>
      </c>
      <c r="I42" s="212">
        <v>0</v>
      </c>
    </row>
    <row r="43" spans="1:9" x14ac:dyDescent="0.25">
      <c r="A43" s="274" t="s">
        <v>17</v>
      </c>
      <c r="B43" s="273">
        <v>280</v>
      </c>
      <c r="C43" s="273"/>
      <c r="D43" s="273">
        <v>144</v>
      </c>
      <c r="E43" s="273">
        <v>56</v>
      </c>
      <c r="F43" s="273">
        <v>15</v>
      </c>
      <c r="G43" s="273">
        <v>64</v>
      </c>
      <c r="H43" s="273">
        <v>1</v>
      </c>
      <c r="I43" s="273">
        <v>0</v>
      </c>
    </row>
    <row r="44" spans="1:9" s="269" customFormat="1" x14ac:dyDescent="0.25">
      <c r="A44" s="274" t="s">
        <v>16</v>
      </c>
      <c r="B44" s="273">
        <v>162</v>
      </c>
      <c r="C44" s="273"/>
      <c r="D44" s="273">
        <v>70</v>
      </c>
      <c r="E44" s="273">
        <v>13</v>
      </c>
      <c r="F44" s="273">
        <v>26</v>
      </c>
      <c r="G44" s="273">
        <v>52</v>
      </c>
      <c r="H44" s="273">
        <v>1</v>
      </c>
      <c r="I44" s="273">
        <v>0</v>
      </c>
    </row>
    <row r="45" spans="1:9" x14ac:dyDescent="0.25">
      <c r="D45"/>
      <c r="E45"/>
      <c r="F45"/>
      <c r="G45"/>
    </row>
    <row r="46" spans="1:9" x14ac:dyDescent="0.25">
      <c r="D46"/>
      <c r="E46"/>
      <c r="F46"/>
      <c r="G46"/>
    </row>
    <row r="47" spans="1:9" x14ac:dyDescent="0.25">
      <c r="D47"/>
      <c r="E47"/>
      <c r="F47"/>
      <c r="G47"/>
    </row>
    <row r="48" spans="1:9" x14ac:dyDescent="0.25">
      <c r="D48"/>
      <c r="E48"/>
      <c r="F48"/>
      <c r="G48"/>
    </row>
    <row r="49" spans="4:7" x14ac:dyDescent="0.25">
      <c r="D49"/>
      <c r="E49"/>
      <c r="F49"/>
      <c r="G49"/>
    </row>
    <row r="50" spans="4:7" x14ac:dyDescent="0.25">
      <c r="D50"/>
      <c r="E50"/>
      <c r="F50"/>
      <c r="G50"/>
    </row>
    <row r="51" spans="4:7" x14ac:dyDescent="0.25">
      <c r="D51"/>
      <c r="E51"/>
      <c r="F51"/>
      <c r="G51"/>
    </row>
    <row r="52" spans="4:7" x14ac:dyDescent="0.25">
      <c r="D52"/>
      <c r="E52"/>
      <c r="F52"/>
      <c r="G52"/>
    </row>
    <row r="53" spans="4:7" x14ac:dyDescent="0.25">
      <c r="D53"/>
      <c r="E53"/>
      <c r="F53"/>
      <c r="G53"/>
    </row>
    <row r="54" spans="4:7" x14ac:dyDescent="0.25">
      <c r="D54"/>
      <c r="E54"/>
      <c r="F54"/>
      <c r="G54"/>
    </row>
    <row r="55" spans="4:7" x14ac:dyDescent="0.25">
      <c r="D55"/>
      <c r="E55"/>
      <c r="F55"/>
      <c r="G55"/>
    </row>
    <row r="56" spans="4:7" x14ac:dyDescent="0.25">
      <c r="D56"/>
      <c r="E56"/>
      <c r="F56"/>
      <c r="G56"/>
    </row>
    <row r="57" spans="4:7" x14ac:dyDescent="0.25">
      <c r="D57"/>
      <c r="E57"/>
      <c r="F57"/>
      <c r="G57"/>
    </row>
    <row r="58" spans="4:7" x14ac:dyDescent="0.25">
      <c r="D58"/>
      <c r="E58"/>
      <c r="F58"/>
      <c r="G58"/>
    </row>
    <row r="59" spans="4:7" x14ac:dyDescent="0.25">
      <c r="D59"/>
      <c r="E59"/>
      <c r="F59"/>
      <c r="G59"/>
    </row>
    <row r="60" spans="4:7" x14ac:dyDescent="0.25">
      <c r="D60"/>
      <c r="E60"/>
      <c r="F60"/>
      <c r="G60"/>
    </row>
    <row r="61" spans="4:7" x14ac:dyDescent="0.25">
      <c r="D61"/>
      <c r="E61"/>
      <c r="F61"/>
      <c r="G61"/>
    </row>
    <row r="62" spans="4:7" x14ac:dyDescent="0.25">
      <c r="D62"/>
      <c r="E62"/>
      <c r="F62"/>
      <c r="G62"/>
    </row>
    <row r="63" spans="4:7" x14ac:dyDescent="0.25">
      <c r="D63"/>
      <c r="E63"/>
      <c r="F63"/>
      <c r="G63"/>
    </row>
    <row r="64" spans="4:7" x14ac:dyDescent="0.25">
      <c r="D64"/>
      <c r="E64"/>
      <c r="F64"/>
      <c r="G64"/>
    </row>
    <row r="65" spans="4:7" x14ac:dyDescent="0.25">
      <c r="D65"/>
      <c r="E65"/>
      <c r="F65"/>
      <c r="G65"/>
    </row>
    <row r="66" spans="4:7" x14ac:dyDescent="0.25">
      <c r="D66"/>
      <c r="E66"/>
      <c r="F66"/>
      <c r="G66"/>
    </row>
    <row r="67" spans="4:7" x14ac:dyDescent="0.25">
      <c r="D67"/>
      <c r="E67"/>
      <c r="F67"/>
      <c r="G67"/>
    </row>
    <row r="68" spans="4:7" x14ac:dyDescent="0.25">
      <c r="D68"/>
      <c r="E68"/>
      <c r="F68"/>
      <c r="G68"/>
    </row>
    <row r="69" spans="4:7" x14ac:dyDescent="0.25">
      <c r="D69"/>
      <c r="E69"/>
      <c r="F69"/>
      <c r="G69"/>
    </row>
    <row r="70" spans="4:7" x14ac:dyDescent="0.25">
      <c r="D70"/>
      <c r="E70"/>
      <c r="F70"/>
      <c r="G70"/>
    </row>
    <row r="71" spans="4:7" x14ac:dyDescent="0.25">
      <c r="D71"/>
      <c r="E71"/>
      <c r="F71"/>
      <c r="G71"/>
    </row>
    <row r="72" spans="4:7" x14ac:dyDescent="0.25">
      <c r="D72"/>
      <c r="E72"/>
      <c r="F72"/>
      <c r="G72"/>
    </row>
    <row r="73" spans="4:7" x14ac:dyDescent="0.25">
      <c r="D73"/>
      <c r="E73"/>
      <c r="F73"/>
      <c r="G73"/>
    </row>
    <row r="74" spans="4:7" x14ac:dyDescent="0.25">
      <c r="D74"/>
      <c r="E74"/>
      <c r="F74"/>
      <c r="G74"/>
    </row>
    <row r="75" spans="4:7" x14ac:dyDescent="0.25">
      <c r="D75"/>
      <c r="E75"/>
      <c r="F75"/>
      <c r="G75"/>
    </row>
    <row r="76" spans="4:7" x14ac:dyDescent="0.25">
      <c r="D76"/>
      <c r="E76"/>
      <c r="F76"/>
      <c r="G76"/>
    </row>
    <row r="77" spans="4:7" x14ac:dyDescent="0.25">
      <c r="D77"/>
      <c r="E77"/>
      <c r="F77"/>
      <c r="G77"/>
    </row>
    <row r="78" spans="4:7" x14ac:dyDescent="0.25">
      <c r="D78"/>
      <c r="E78"/>
      <c r="F78"/>
      <c r="G78"/>
    </row>
    <row r="79" spans="4:7" x14ac:dyDescent="0.25">
      <c r="D79"/>
      <c r="E79"/>
      <c r="F79"/>
      <c r="G79"/>
    </row>
    <row r="80" spans="4:7" x14ac:dyDescent="0.25">
      <c r="D80"/>
      <c r="E80"/>
      <c r="F80"/>
      <c r="G80"/>
    </row>
    <row r="81" spans="4:7" x14ac:dyDescent="0.25">
      <c r="D81"/>
      <c r="E81"/>
      <c r="F81"/>
      <c r="G81"/>
    </row>
    <row r="82" spans="4:7" x14ac:dyDescent="0.25">
      <c r="D82"/>
      <c r="E82"/>
      <c r="F82"/>
      <c r="G82"/>
    </row>
  </sheetData>
  <pageMargins left="0.3" right="0.3" top="0.75" bottom="0.75" header="0.3" footer="0.3"/>
  <pageSetup orientation="portrait" r:id="rId1"/>
  <colBreaks count="2" manualBreakCount="2">
    <brk id="5" max="1048575" man="1"/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6</vt:i4>
      </vt:variant>
    </vt:vector>
  </HeadingPairs>
  <TitlesOfParts>
    <vt:vector size="25" baseType="lpstr">
      <vt:lpstr>Curb Appeal I &amp; II</vt:lpstr>
      <vt:lpstr>Curb Appeal III &amp; IV</vt:lpstr>
      <vt:lpstr>Survey Projects</vt:lpstr>
      <vt:lpstr>Survey Work Orders</vt:lpstr>
      <vt:lpstr>Custodial</vt:lpstr>
      <vt:lpstr>Engineering</vt:lpstr>
      <vt:lpstr>Grounds</vt:lpstr>
      <vt:lpstr>Trades</vt:lpstr>
      <vt:lpstr>PM3</vt:lpstr>
      <vt:lpstr>PM2</vt:lpstr>
      <vt:lpstr>PM</vt:lpstr>
      <vt:lpstr>D&amp;CS P&amp;E (2)</vt:lpstr>
      <vt:lpstr>D&amp;CS P&amp;E</vt:lpstr>
      <vt:lpstr>D&amp;CS Admin</vt:lpstr>
      <vt:lpstr>Business Services</vt:lpstr>
      <vt:lpstr>FY14 Utilities</vt:lpstr>
      <vt:lpstr>Degree Day Graphs</vt:lpstr>
      <vt:lpstr>FY13 Utilities</vt:lpstr>
      <vt:lpstr>FY12 Utilities</vt:lpstr>
      <vt:lpstr>'D&amp;CS P&amp;E'!Print_Area</vt:lpstr>
      <vt:lpstr>'D&amp;CS P&amp;E (2)'!Print_Area</vt:lpstr>
      <vt:lpstr>'Degree Day Graphs'!Print_Area</vt:lpstr>
      <vt:lpstr>'FY12 Utilities'!Print_Area</vt:lpstr>
      <vt:lpstr>'FY14 Utilities'!Print_Area</vt:lpstr>
      <vt:lpstr>'Survey Work Orders'!Print_Area</vt:lpstr>
    </vt:vector>
  </TitlesOfParts>
  <Company>Wayne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Kisner</dc:creator>
  <cp:lastModifiedBy>bs2276</cp:lastModifiedBy>
  <cp:lastPrinted>2014-09-08T13:45:46Z</cp:lastPrinted>
  <dcterms:created xsi:type="dcterms:W3CDTF">2012-02-03T20:59:18Z</dcterms:created>
  <dcterms:modified xsi:type="dcterms:W3CDTF">2014-09-18T17:58:18Z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