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drawings/drawing11.xml" ContentType="application/vnd.openxmlformats-officedocument.drawingml.chartshapes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4.xml" ContentType="application/vnd.openxmlformats-officedocument.drawing+xml"/>
  <Override PartName="/xl/charts/chart22.xml" ContentType="application/vnd.openxmlformats-officedocument.drawingml.chart+xml"/>
  <Override PartName="/xl/drawings/drawing15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6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7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19.xml" ContentType="application/vnd.openxmlformats-officedocument.drawing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20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FPM Common\KPI\"/>
    </mc:Choice>
  </mc:AlternateContent>
  <bookViews>
    <workbookView xWindow="0" yWindow="0" windowWidth="25200" windowHeight="11985" tabRatio="773" activeTab="9"/>
  </bookViews>
  <sheets>
    <sheet name="Curb Appeal III &amp; IV" sheetId="21" r:id="rId1"/>
    <sheet name="Survey Projects" sheetId="23" r:id="rId2"/>
    <sheet name="Survey Work Orders" sheetId="4" r:id="rId3"/>
    <sheet name="Custodial" sheetId="12" r:id="rId4"/>
    <sheet name="Engineering" sheetId="13" r:id="rId5"/>
    <sheet name="Grounds" sheetId="1" r:id="rId6"/>
    <sheet name="Trades" sheetId="10" r:id="rId7"/>
    <sheet name="PM3" sheetId="25" r:id="rId8"/>
    <sheet name="D&amp;CS P&amp;E" sheetId="24" r:id="rId9"/>
    <sheet name="D&amp;CS Admin" sheetId="19" r:id="rId10"/>
    <sheet name="Business Services" sheetId="6" r:id="rId11"/>
    <sheet name="FY16 Utilities" sheetId="27" r:id="rId12"/>
    <sheet name="Degree Day Graphs" sheetId="15" r:id="rId13"/>
    <sheet name="FY15 Utilities" sheetId="26" r:id="rId14"/>
    <sheet name="FY14 Utilities" sheetId="22" r:id="rId15"/>
  </sheets>
  <externalReferences>
    <externalReference r:id="rId16"/>
    <externalReference r:id="rId17"/>
    <externalReference r:id="rId18"/>
  </externalReferences>
  <definedNames>
    <definedName name="_xlnm.Print_Area" localSheetId="3">Custodial!$A$141:$H$166</definedName>
    <definedName name="_xlnm.Print_Area" localSheetId="8">'D&amp;CS P&amp;E'!$A$1:$N$26</definedName>
    <definedName name="_xlnm.Print_Area" localSheetId="12">'Degree Day Graphs'!$A$1:$I$41</definedName>
    <definedName name="_xlnm.Print_Area" localSheetId="14">'FY14 Utilities'!$D$1:$AA$39</definedName>
    <definedName name="_xlnm.Print_Area" localSheetId="13">'FY15 Utilities'!$E$1:$AB$39</definedName>
    <definedName name="_xlnm.Print_Area" localSheetId="11">'FY16 Utilities'!$E$1:$AB$39</definedName>
    <definedName name="_xlnm.Print_Area" localSheetId="1">'Survey Projects'!#REF!</definedName>
    <definedName name="_xlnm.Print_Area" localSheetId="2">'Survey Work Orders'!$P$19</definedName>
    <definedName name="_xlnm.Print_Area" localSheetId="6">Trades!$H$9:$R$33</definedName>
  </definedNames>
  <calcPr calcId="152511"/>
</workbook>
</file>

<file path=xl/calcChain.xml><?xml version="1.0" encoding="utf-8"?>
<calcChain xmlns="http://schemas.openxmlformats.org/spreadsheetml/2006/main">
  <c r="B246" i="19" l="1"/>
  <c r="P178" i="19"/>
  <c r="O178" i="19"/>
  <c r="B183" i="19"/>
  <c r="B117" i="19"/>
  <c r="B49" i="19"/>
  <c r="H57" i="10"/>
  <c r="Q118" i="1"/>
  <c r="N118" i="1"/>
  <c r="K118" i="1"/>
  <c r="H118" i="1"/>
  <c r="E118" i="1"/>
  <c r="G57" i="1"/>
  <c r="Q119" i="13"/>
  <c r="N119" i="13"/>
  <c r="K119" i="13"/>
  <c r="H119" i="13"/>
  <c r="E119" i="13"/>
  <c r="H58" i="13"/>
  <c r="Q119" i="12" l="1"/>
  <c r="N119" i="12"/>
  <c r="K119" i="12"/>
  <c r="H119" i="12"/>
  <c r="E119" i="12"/>
  <c r="G58" i="12"/>
  <c r="B245" i="19" l="1"/>
  <c r="B182" i="19"/>
  <c r="B116" i="19"/>
  <c r="B48" i="19"/>
  <c r="Q117" i="10"/>
  <c r="N117" i="10"/>
  <c r="K117" i="10"/>
  <c r="H117" i="10"/>
  <c r="E117" i="10"/>
  <c r="H56" i="10" l="1"/>
  <c r="Q117" i="1"/>
  <c r="N117" i="1"/>
  <c r="K117" i="1"/>
  <c r="H117" i="1"/>
  <c r="E117" i="1"/>
  <c r="G56" i="1"/>
  <c r="Q118" i="13"/>
  <c r="N118" i="13"/>
  <c r="K118" i="13"/>
  <c r="H118" i="13"/>
  <c r="E118" i="13"/>
  <c r="H57" i="13"/>
  <c r="Q118" i="12"/>
  <c r="N118" i="12"/>
  <c r="K118" i="12"/>
  <c r="H118" i="12"/>
  <c r="E118" i="12"/>
  <c r="G57" i="12"/>
  <c r="B244" i="19" l="1"/>
  <c r="B181" i="19"/>
  <c r="B115" i="19"/>
  <c r="B47" i="19"/>
  <c r="Q116" i="10"/>
  <c r="N116" i="10"/>
  <c r="K116" i="10"/>
  <c r="H116" i="10"/>
  <c r="E116" i="10"/>
  <c r="H55" i="10"/>
  <c r="Q116" i="1"/>
  <c r="N116" i="1"/>
  <c r="K116" i="1"/>
  <c r="H116" i="1"/>
  <c r="E116" i="1"/>
  <c r="G55" i="1"/>
  <c r="Q117" i="13"/>
  <c r="N117" i="13"/>
  <c r="K117" i="13"/>
  <c r="H117" i="13"/>
  <c r="E117" i="13"/>
  <c r="H56" i="13"/>
  <c r="Q117" i="12" l="1"/>
  <c r="N117" i="12"/>
  <c r="K117" i="12"/>
  <c r="H117" i="12"/>
  <c r="E117" i="12"/>
  <c r="G56" i="12"/>
  <c r="B243" i="19" l="1"/>
  <c r="B180" i="19"/>
  <c r="B114" i="19"/>
  <c r="B46" i="19"/>
  <c r="Q115" i="10"/>
  <c r="N115" i="10"/>
  <c r="K115" i="10"/>
  <c r="H115" i="10"/>
  <c r="E115" i="10"/>
  <c r="H54" i="10"/>
  <c r="Q115" i="1"/>
  <c r="N115" i="1"/>
  <c r="K115" i="1"/>
  <c r="H115" i="1"/>
  <c r="E115" i="1"/>
  <c r="G54" i="1"/>
  <c r="Q116" i="13"/>
  <c r="N116" i="13"/>
  <c r="K116" i="13"/>
  <c r="H116" i="13"/>
  <c r="E116" i="13"/>
  <c r="H55" i="13"/>
  <c r="Q116" i="12"/>
  <c r="N116" i="12"/>
  <c r="K116" i="12"/>
  <c r="H116" i="12"/>
  <c r="E116" i="12"/>
  <c r="G55" i="12"/>
  <c r="B179" i="19" l="1"/>
  <c r="B113" i="19"/>
  <c r="B45" i="19"/>
  <c r="B242" i="19"/>
  <c r="Q114" i="10" l="1"/>
  <c r="N114" i="10"/>
  <c r="K114" i="10"/>
  <c r="H114" i="10"/>
  <c r="E114" i="10"/>
  <c r="H53" i="10"/>
  <c r="Q114" i="1"/>
  <c r="N114" i="1"/>
  <c r="K114" i="1"/>
  <c r="H114" i="1"/>
  <c r="E114" i="1"/>
  <c r="G53" i="1"/>
  <c r="Q115" i="13"/>
  <c r="N115" i="13"/>
  <c r="K115" i="13"/>
  <c r="H115" i="13"/>
  <c r="E115" i="13"/>
  <c r="H54" i="13"/>
  <c r="Q115" i="12"/>
  <c r="N115" i="12"/>
  <c r="K115" i="12"/>
  <c r="H115" i="12"/>
  <c r="E115" i="12"/>
  <c r="G54" i="12" l="1"/>
  <c r="B241" i="19" l="1"/>
  <c r="B178" i="19"/>
  <c r="B112" i="19"/>
  <c r="B44" i="19"/>
  <c r="Q113" i="10"/>
  <c r="N113" i="10"/>
  <c r="K113" i="10"/>
  <c r="H113" i="10"/>
  <c r="E113" i="10"/>
  <c r="H52" i="10"/>
  <c r="G52" i="1"/>
  <c r="Q113" i="1"/>
  <c r="N113" i="1"/>
  <c r="K113" i="1"/>
  <c r="H113" i="1"/>
  <c r="E113" i="1"/>
  <c r="Q114" i="13"/>
  <c r="N114" i="13"/>
  <c r="K114" i="13"/>
  <c r="H114" i="13"/>
  <c r="E114" i="13"/>
  <c r="H53" i="13"/>
  <c r="Q114" i="12"/>
  <c r="N114" i="12"/>
  <c r="K114" i="12"/>
  <c r="H114" i="12"/>
  <c r="E114" i="12"/>
  <c r="G53" i="12"/>
  <c r="B176" i="19" l="1"/>
  <c r="B177" i="19"/>
  <c r="B111" i="19"/>
  <c r="B43" i="19"/>
  <c r="B240" i="19" l="1"/>
  <c r="B239" i="19"/>
  <c r="Q112" i="10" l="1"/>
  <c r="N112" i="10"/>
  <c r="K112" i="10"/>
  <c r="H112" i="10"/>
  <c r="E112" i="10"/>
  <c r="H51" i="10"/>
  <c r="Q112" i="1"/>
  <c r="N112" i="1"/>
  <c r="K112" i="1"/>
  <c r="H112" i="1"/>
  <c r="E112" i="1"/>
  <c r="G51" i="1"/>
  <c r="Q113" i="13"/>
  <c r="N113" i="13"/>
  <c r="K113" i="13"/>
  <c r="H113" i="13"/>
  <c r="E113" i="13"/>
  <c r="H52" i="13" l="1"/>
  <c r="Q113" i="12" l="1"/>
  <c r="N113" i="12"/>
  <c r="K113" i="12"/>
  <c r="H113" i="12"/>
  <c r="E113" i="12"/>
  <c r="G52" i="12"/>
  <c r="B110" i="19" l="1"/>
  <c r="B42" i="19"/>
  <c r="H50" i="10"/>
  <c r="Q111" i="10"/>
  <c r="N111" i="10"/>
  <c r="K111" i="10"/>
  <c r="H111" i="10"/>
  <c r="E111" i="10"/>
  <c r="Q111" i="1"/>
  <c r="N111" i="1"/>
  <c r="K111" i="1"/>
  <c r="H111" i="1"/>
  <c r="E111" i="1"/>
  <c r="G50" i="1"/>
  <c r="Q112" i="13"/>
  <c r="N112" i="13"/>
  <c r="K112" i="13"/>
  <c r="H112" i="13"/>
  <c r="E112" i="13"/>
  <c r="V51" i="13"/>
  <c r="H51" i="13"/>
  <c r="Q112" i="12"/>
  <c r="N112" i="12"/>
  <c r="K112" i="12"/>
  <c r="H112" i="12"/>
  <c r="E112" i="12"/>
  <c r="G51" i="12"/>
  <c r="U144" i="13"/>
  <c r="U143" i="13"/>
  <c r="B238" i="19"/>
  <c r="B175" i="19"/>
  <c r="B109" i="19"/>
  <c r="B41" i="19"/>
  <c r="V47" i="13"/>
  <c r="V48" i="13"/>
  <c r="V50" i="13"/>
  <c r="V49" i="13"/>
  <c r="V46" i="13"/>
  <c r="V45" i="13"/>
  <c r="V44" i="13"/>
  <c r="V43" i="13"/>
  <c r="V42" i="13"/>
  <c r="V41" i="13"/>
  <c r="V40" i="13"/>
  <c r="V39" i="13"/>
  <c r="V38" i="13"/>
  <c r="V37" i="13"/>
  <c r="V36" i="13"/>
  <c r="V35" i="13"/>
  <c r="V34" i="13"/>
  <c r="V33" i="13"/>
  <c r="V32" i="13"/>
  <c r="V31" i="13"/>
  <c r="V30" i="13"/>
  <c r="V29" i="13"/>
  <c r="V28" i="13"/>
  <c r="V27" i="13"/>
  <c r="V26" i="13"/>
  <c r="V25" i="13"/>
  <c r="V24" i="13"/>
  <c r="V23" i="13"/>
  <c r="V22" i="13"/>
  <c r="V21" i="13"/>
  <c r="V20" i="13"/>
  <c r="V19" i="13"/>
  <c r="V18" i="13"/>
  <c r="V17" i="13"/>
  <c r="V16" i="13"/>
  <c r="V15" i="13"/>
  <c r="V14" i="13"/>
  <c r="V13" i="13"/>
  <c r="V12" i="13"/>
  <c r="V11" i="13"/>
  <c r="V10" i="13"/>
  <c r="V9" i="13"/>
  <c r="V8" i="13"/>
  <c r="V7" i="13"/>
  <c r="V6" i="13"/>
  <c r="V5" i="13"/>
  <c r="V4" i="13"/>
  <c r="V3" i="13"/>
  <c r="Q110" i="10"/>
  <c r="N110" i="10"/>
  <c r="K110" i="10"/>
  <c r="H110" i="10"/>
  <c r="E110" i="10"/>
  <c r="H49" i="10"/>
  <c r="Q110" i="1"/>
  <c r="N110" i="1"/>
  <c r="K110" i="1"/>
  <c r="H110" i="1"/>
  <c r="E110" i="1"/>
  <c r="G49" i="1"/>
  <c r="Q111" i="13"/>
  <c r="N111" i="13"/>
  <c r="K111" i="13"/>
  <c r="H111" i="13"/>
  <c r="E111" i="13"/>
  <c r="H50" i="13"/>
  <c r="Q111" i="12"/>
  <c r="N111" i="12"/>
  <c r="K111" i="12"/>
  <c r="H111" i="12"/>
  <c r="E111" i="12"/>
  <c r="G50" i="12"/>
  <c r="B237" i="19"/>
  <c r="B174" i="19"/>
  <c r="B108" i="19"/>
  <c r="B40" i="19"/>
  <c r="Q109" i="10"/>
  <c r="N109" i="10"/>
  <c r="K109" i="10"/>
  <c r="H109" i="10"/>
  <c r="E109" i="10"/>
  <c r="H48" i="10"/>
  <c r="Q109" i="1"/>
  <c r="N109" i="1"/>
  <c r="K109" i="1"/>
  <c r="H109" i="1"/>
  <c r="E109" i="1"/>
  <c r="G48" i="1"/>
  <c r="Q110" i="13"/>
  <c r="N110" i="13"/>
  <c r="K110" i="13"/>
  <c r="H110" i="13"/>
  <c r="E110" i="13"/>
  <c r="H49" i="13"/>
  <c r="Q110" i="12"/>
  <c r="N110" i="12"/>
  <c r="K110" i="12"/>
  <c r="H110" i="12"/>
  <c r="E110" i="12"/>
  <c r="G49" i="12"/>
  <c r="I7" i="27"/>
  <c r="K7" i="27" s="1"/>
  <c r="B173" i="19"/>
  <c r="B107" i="19"/>
  <c r="B39" i="19"/>
  <c r="B236" i="19"/>
  <c r="Q108" i="10"/>
  <c r="N108" i="10"/>
  <c r="K108" i="10"/>
  <c r="H108" i="10"/>
  <c r="E108" i="10"/>
  <c r="H47" i="10"/>
  <c r="Q108" i="1"/>
  <c r="N108" i="1"/>
  <c r="K108" i="1"/>
  <c r="H108" i="1"/>
  <c r="E108" i="1"/>
  <c r="G47" i="1"/>
  <c r="Q109" i="13"/>
  <c r="N109" i="13"/>
  <c r="K109" i="13"/>
  <c r="H109" i="13"/>
  <c r="E109" i="13"/>
  <c r="H48" i="13"/>
  <c r="Q109" i="12"/>
  <c r="N109" i="12"/>
  <c r="K109" i="12"/>
  <c r="H109" i="12"/>
  <c r="E109" i="12"/>
  <c r="G48" i="12"/>
  <c r="C7" i="27"/>
  <c r="A19" i="27"/>
  <c r="C19" i="27"/>
  <c r="G28" i="27"/>
  <c r="B19" i="27"/>
  <c r="B21" i="27"/>
  <c r="C18" i="27"/>
  <c r="C17" i="27"/>
  <c r="C16" i="27"/>
  <c r="C15" i="27"/>
  <c r="C14" i="27"/>
  <c r="C13" i="27"/>
  <c r="C12" i="27"/>
  <c r="C11" i="27"/>
  <c r="C10" i="27"/>
  <c r="C9" i="27"/>
  <c r="C8" i="27"/>
  <c r="G7" i="27"/>
  <c r="G8" i="27"/>
  <c r="G9" i="27"/>
  <c r="B172" i="19"/>
  <c r="B106" i="19"/>
  <c r="B38" i="19"/>
  <c r="B235" i="19"/>
  <c r="Q107" i="10"/>
  <c r="N107" i="10"/>
  <c r="K107" i="10"/>
  <c r="H107" i="10"/>
  <c r="E107" i="10"/>
  <c r="H46" i="10"/>
  <c r="Q107" i="1"/>
  <c r="N107" i="1"/>
  <c r="K107" i="1"/>
  <c r="H107" i="1"/>
  <c r="E107" i="1"/>
  <c r="G46" i="1"/>
  <c r="Q108" i="13"/>
  <c r="N108" i="13"/>
  <c r="K108" i="13"/>
  <c r="H108" i="13"/>
  <c r="E108" i="13"/>
  <c r="H47" i="13"/>
  <c r="Q108" i="12"/>
  <c r="N108" i="12"/>
  <c r="K108" i="12"/>
  <c r="H108" i="12"/>
  <c r="E108" i="12"/>
  <c r="G47" i="12"/>
  <c r="B234" i="19"/>
  <c r="B171" i="19"/>
  <c r="B105" i="19"/>
  <c r="B37" i="19"/>
  <c r="Q106" i="10"/>
  <c r="N106" i="10"/>
  <c r="K106" i="10"/>
  <c r="H106" i="10"/>
  <c r="E106" i="10"/>
  <c r="H45" i="10"/>
  <c r="Q106" i="1"/>
  <c r="N106" i="1"/>
  <c r="K106" i="1"/>
  <c r="H106" i="1"/>
  <c r="E106" i="1"/>
  <c r="G45" i="1"/>
  <c r="Q107" i="13"/>
  <c r="N107" i="13"/>
  <c r="K107" i="13"/>
  <c r="H107" i="13"/>
  <c r="E107" i="13"/>
  <c r="H46" i="13"/>
  <c r="Q107" i="12"/>
  <c r="N107" i="12"/>
  <c r="K107" i="12"/>
  <c r="H107" i="12"/>
  <c r="E107" i="12"/>
  <c r="G46" i="12"/>
  <c r="B233" i="19"/>
  <c r="B170" i="19"/>
  <c r="B104" i="19"/>
  <c r="B36" i="19"/>
  <c r="Q105" i="10"/>
  <c r="N105" i="10"/>
  <c r="K105" i="10"/>
  <c r="H105" i="10"/>
  <c r="E105" i="10"/>
  <c r="H44" i="10"/>
  <c r="Q105" i="1"/>
  <c r="N105" i="1"/>
  <c r="K105" i="1"/>
  <c r="H105" i="1"/>
  <c r="E105" i="1"/>
  <c r="G44" i="1"/>
  <c r="Q106" i="13"/>
  <c r="N106" i="13"/>
  <c r="K106" i="13"/>
  <c r="H106" i="13"/>
  <c r="E106" i="13"/>
  <c r="H45" i="13"/>
  <c r="Q106" i="12"/>
  <c r="N106" i="12"/>
  <c r="K106" i="12"/>
  <c r="H106" i="12"/>
  <c r="E106" i="12"/>
  <c r="G45" i="12"/>
  <c r="B232" i="19"/>
  <c r="B169" i="19"/>
  <c r="B103" i="19"/>
  <c r="B35" i="19"/>
  <c r="Q104" i="10"/>
  <c r="N104" i="10"/>
  <c r="K104" i="10"/>
  <c r="H104" i="10"/>
  <c r="E104" i="10"/>
  <c r="H43" i="10"/>
  <c r="Q104" i="1"/>
  <c r="N104" i="1"/>
  <c r="K104" i="1"/>
  <c r="H104" i="1"/>
  <c r="E104" i="1"/>
  <c r="G43" i="1"/>
  <c r="Q105" i="13"/>
  <c r="N105" i="13"/>
  <c r="K105" i="13"/>
  <c r="H105" i="13"/>
  <c r="E105" i="13"/>
  <c r="H44" i="13"/>
  <c r="Q105" i="12"/>
  <c r="N105" i="12"/>
  <c r="K105" i="12"/>
  <c r="H105" i="12"/>
  <c r="E105" i="12"/>
  <c r="G44" i="12"/>
  <c r="B231" i="19"/>
  <c r="B168" i="19"/>
  <c r="B102" i="19"/>
  <c r="B34" i="19"/>
  <c r="V42" i="10"/>
  <c r="U42" i="10"/>
  <c r="Q103" i="10"/>
  <c r="N103" i="10"/>
  <c r="K103" i="10"/>
  <c r="H103" i="10"/>
  <c r="E103" i="10"/>
  <c r="H42" i="10"/>
  <c r="Q103" i="1"/>
  <c r="N103" i="1"/>
  <c r="K103" i="1"/>
  <c r="H103" i="1"/>
  <c r="E103" i="1"/>
  <c r="G42" i="1"/>
  <c r="Q104" i="13"/>
  <c r="N104" i="13"/>
  <c r="K104" i="13"/>
  <c r="H104" i="13"/>
  <c r="E104" i="13"/>
  <c r="H43" i="13"/>
  <c r="Q104" i="12"/>
  <c r="N104" i="12"/>
  <c r="K104" i="12"/>
  <c r="H104" i="12"/>
  <c r="E104" i="12"/>
  <c r="G43" i="12"/>
  <c r="U26" i="10"/>
  <c r="U25" i="10"/>
  <c r="U24" i="10"/>
  <c r="V41" i="10"/>
  <c r="V40" i="10"/>
  <c r="V39" i="10"/>
  <c r="V38" i="10"/>
  <c r="V37" i="10"/>
  <c r="V36" i="10"/>
  <c r="V35" i="10"/>
  <c r="V34" i="10"/>
  <c r="V33" i="10"/>
  <c r="V32" i="10"/>
  <c r="V31" i="10"/>
  <c r="V30" i="10"/>
  <c r="V29" i="10"/>
  <c r="V28" i="10"/>
  <c r="V27" i="10"/>
  <c r="V26" i="10"/>
  <c r="V25" i="10"/>
  <c r="V24" i="10"/>
  <c r="U41" i="10"/>
  <c r="U40" i="10"/>
  <c r="U39" i="10"/>
  <c r="U38" i="10"/>
  <c r="U37" i="10"/>
  <c r="U36" i="10"/>
  <c r="U35" i="10"/>
  <c r="U34" i="10"/>
  <c r="U33" i="10"/>
  <c r="U32" i="10"/>
  <c r="U31" i="10"/>
  <c r="U30" i="10"/>
  <c r="U29" i="10"/>
  <c r="U28" i="10"/>
  <c r="U27" i="10"/>
  <c r="B230" i="19"/>
  <c r="B229" i="19"/>
  <c r="B228" i="19"/>
  <c r="B227" i="19"/>
  <c r="B167" i="19"/>
  <c r="B101" i="19"/>
  <c r="B166" i="19"/>
  <c r="B100" i="19"/>
  <c r="B165" i="19"/>
  <c r="B99" i="19"/>
  <c r="B164" i="19"/>
  <c r="B98" i="19"/>
  <c r="B33" i="19"/>
  <c r="B32" i="19"/>
  <c r="B31" i="19"/>
  <c r="B30" i="19"/>
  <c r="Q102" i="10"/>
  <c r="N102" i="10"/>
  <c r="K102" i="10"/>
  <c r="H102" i="10"/>
  <c r="E102" i="10"/>
  <c r="H41" i="10"/>
  <c r="Q102" i="1"/>
  <c r="N102" i="1"/>
  <c r="K102" i="1"/>
  <c r="H102" i="1"/>
  <c r="E102" i="1"/>
  <c r="G41" i="1"/>
  <c r="Q103" i="13"/>
  <c r="N103" i="13"/>
  <c r="K103" i="13"/>
  <c r="H103" i="13"/>
  <c r="E103" i="13"/>
  <c r="H42" i="13"/>
  <c r="H41" i="13"/>
  <c r="Q103" i="12"/>
  <c r="N103" i="12"/>
  <c r="K103" i="12"/>
  <c r="H103" i="12"/>
  <c r="E103" i="12"/>
  <c r="G42" i="12"/>
  <c r="Q101" i="10"/>
  <c r="N101" i="10"/>
  <c r="K101" i="10"/>
  <c r="H101" i="10"/>
  <c r="E101" i="10"/>
  <c r="H40" i="10"/>
  <c r="Q101" i="1"/>
  <c r="N101" i="1"/>
  <c r="K101" i="1"/>
  <c r="H101" i="1"/>
  <c r="E101" i="1"/>
  <c r="G40" i="1"/>
  <c r="Q102" i="13"/>
  <c r="N102" i="13"/>
  <c r="K102" i="13"/>
  <c r="H102" i="13"/>
  <c r="E102" i="13"/>
  <c r="Q102" i="12"/>
  <c r="N102" i="12"/>
  <c r="K102" i="12"/>
  <c r="H102" i="12"/>
  <c r="E102" i="12"/>
  <c r="G41" i="12"/>
  <c r="C17" i="26"/>
  <c r="C16" i="26"/>
  <c r="C15" i="26"/>
  <c r="C14" i="26"/>
  <c r="C13" i="26"/>
  <c r="C12" i="26"/>
  <c r="C11" i="26"/>
  <c r="C10" i="26"/>
  <c r="C9" i="26"/>
  <c r="C8" i="26"/>
  <c r="C7" i="26"/>
  <c r="C6" i="26"/>
  <c r="H39" i="10"/>
  <c r="Q100" i="10"/>
  <c r="N100" i="10"/>
  <c r="K100" i="10"/>
  <c r="H100" i="10"/>
  <c r="E100" i="10"/>
  <c r="Q100" i="1"/>
  <c r="N100" i="1"/>
  <c r="K100" i="1"/>
  <c r="H100" i="1"/>
  <c r="E100" i="1"/>
  <c r="G39" i="1"/>
  <c r="Q101" i="13"/>
  <c r="N101" i="13"/>
  <c r="K101" i="13"/>
  <c r="H101" i="13"/>
  <c r="E101" i="13"/>
  <c r="H40" i="13"/>
  <c r="Q101" i="12"/>
  <c r="N101" i="12"/>
  <c r="N100" i="12"/>
  <c r="K101" i="12"/>
  <c r="K98" i="12"/>
  <c r="H101" i="12"/>
  <c r="E101" i="12"/>
  <c r="G40" i="12"/>
  <c r="F42" i="6"/>
  <c r="B42" i="6"/>
  <c r="D42" i="6"/>
  <c r="F41" i="6"/>
  <c r="B41" i="6"/>
  <c r="D41" i="6"/>
  <c r="E93" i="6"/>
  <c r="B93" i="6"/>
  <c r="D93" i="6"/>
  <c r="E92" i="6"/>
  <c r="E91" i="6"/>
  <c r="B92" i="6"/>
  <c r="D92" i="6"/>
  <c r="H38" i="10"/>
  <c r="Q99" i="10"/>
  <c r="N99" i="10"/>
  <c r="K99" i="10"/>
  <c r="H99" i="10"/>
  <c r="E99" i="10"/>
  <c r="Q99" i="1"/>
  <c r="N99" i="1"/>
  <c r="K99" i="1"/>
  <c r="H99" i="1"/>
  <c r="E99" i="1"/>
  <c r="G38" i="1"/>
  <c r="Q100" i="13"/>
  <c r="N100" i="13"/>
  <c r="K100" i="13"/>
  <c r="H100" i="13"/>
  <c r="E100" i="13"/>
  <c r="Q100" i="12"/>
  <c r="K100" i="12"/>
  <c r="H100" i="12"/>
  <c r="E100" i="12"/>
  <c r="H39" i="13"/>
  <c r="G39" i="12"/>
  <c r="B163" i="19"/>
  <c r="B97" i="19"/>
  <c r="B29" i="19"/>
  <c r="B40" i="6"/>
  <c r="D40" i="6"/>
  <c r="B91" i="6"/>
  <c r="D91" i="6"/>
  <c r="B226" i="19"/>
  <c r="Q98" i="10"/>
  <c r="N98" i="10"/>
  <c r="K98" i="10"/>
  <c r="H98" i="10"/>
  <c r="E98" i="10"/>
  <c r="H37" i="10"/>
  <c r="Q98" i="1"/>
  <c r="N98" i="1"/>
  <c r="K98" i="1"/>
  <c r="H98" i="1"/>
  <c r="E98" i="1"/>
  <c r="G37" i="1"/>
  <c r="H38" i="13"/>
  <c r="Q99" i="13"/>
  <c r="N99" i="13"/>
  <c r="K99" i="13"/>
  <c r="H99" i="13"/>
  <c r="E99" i="13"/>
  <c r="Q99" i="12"/>
  <c r="N99" i="12"/>
  <c r="K99" i="12"/>
  <c r="H99" i="12"/>
  <c r="E99" i="12"/>
  <c r="G38" i="12"/>
  <c r="B225" i="19"/>
  <c r="B162" i="19"/>
  <c r="B96" i="19"/>
  <c r="B28" i="19"/>
  <c r="Q97" i="10"/>
  <c r="N97" i="10"/>
  <c r="K97" i="10"/>
  <c r="H97" i="10"/>
  <c r="E97" i="10"/>
  <c r="G36" i="10"/>
  <c r="Q97" i="1"/>
  <c r="N97" i="1"/>
  <c r="K97" i="1"/>
  <c r="H97" i="1"/>
  <c r="E97" i="1"/>
  <c r="G36" i="1"/>
  <c r="Q98" i="13"/>
  <c r="N98" i="13"/>
  <c r="K98" i="13"/>
  <c r="H98" i="13"/>
  <c r="E98" i="13"/>
  <c r="G37" i="13"/>
  <c r="Q98" i="12"/>
  <c r="N98" i="12"/>
  <c r="H98" i="12"/>
  <c r="E98" i="12"/>
  <c r="G37" i="12"/>
  <c r="F39" i="6"/>
  <c r="E39" i="6"/>
  <c r="E38" i="6"/>
  <c r="F38" i="6"/>
  <c r="B90" i="6"/>
  <c r="D90" i="6"/>
  <c r="B39" i="6"/>
  <c r="D39" i="6"/>
  <c r="G27" i="26"/>
  <c r="A18" i="26"/>
  <c r="B20" i="26"/>
  <c r="I6" i="26"/>
  <c r="I7" i="26"/>
  <c r="I8" i="26"/>
  <c r="I9" i="26"/>
  <c r="I10" i="26"/>
  <c r="I11" i="26"/>
  <c r="I12" i="26"/>
  <c r="I13" i="26"/>
  <c r="I14" i="26"/>
  <c r="I15" i="26"/>
  <c r="I16" i="26"/>
  <c r="I17" i="26"/>
  <c r="C18" i="26"/>
  <c r="B18" i="26"/>
  <c r="G6" i="26"/>
  <c r="B89" i="6"/>
  <c r="D89" i="6"/>
  <c r="B38" i="6"/>
  <c r="D38" i="6"/>
  <c r="K6" i="26"/>
  <c r="G7" i="26"/>
  <c r="Q96" i="1"/>
  <c r="N96" i="1"/>
  <c r="K96" i="1"/>
  <c r="H96" i="1"/>
  <c r="E96" i="1"/>
  <c r="K7" i="26"/>
  <c r="G8" i="26"/>
  <c r="G35" i="1"/>
  <c r="Q97" i="13"/>
  <c r="N97" i="13"/>
  <c r="K97" i="13"/>
  <c r="H97" i="13"/>
  <c r="E97" i="13"/>
  <c r="G36" i="13"/>
  <c r="G36" i="12"/>
  <c r="Q97" i="12"/>
  <c r="N97" i="12"/>
  <c r="K97" i="12"/>
  <c r="H97" i="12"/>
  <c r="E97" i="12"/>
  <c r="Q96" i="10"/>
  <c r="N96" i="10"/>
  <c r="K96" i="10"/>
  <c r="H96" i="10"/>
  <c r="E96" i="10"/>
  <c r="G35" i="10"/>
  <c r="G9" i="26"/>
  <c r="K8" i="26"/>
  <c r="B224" i="19"/>
  <c r="B161" i="19"/>
  <c r="B95" i="19"/>
  <c r="B27" i="19"/>
  <c r="K9" i="26"/>
  <c r="G10" i="26"/>
  <c r="Q95" i="1"/>
  <c r="N95" i="1"/>
  <c r="K95" i="1"/>
  <c r="H95" i="1"/>
  <c r="E95" i="1"/>
  <c r="K10" i="26"/>
  <c r="G11" i="26"/>
  <c r="G34" i="10"/>
  <c r="K11" i="26"/>
  <c r="G12" i="26"/>
  <c r="Q95" i="10"/>
  <c r="N95" i="10"/>
  <c r="K95" i="10"/>
  <c r="H95" i="10"/>
  <c r="E95" i="10"/>
  <c r="B160" i="19"/>
  <c r="B94" i="19"/>
  <c r="B19" i="19"/>
  <c r="B20" i="19"/>
  <c r="B21" i="19"/>
  <c r="B22" i="19"/>
  <c r="B23" i="19"/>
  <c r="B24" i="19"/>
  <c r="B25" i="19"/>
  <c r="B26" i="19"/>
  <c r="G13" i="26"/>
  <c r="K12" i="26"/>
  <c r="E88" i="6"/>
  <c r="B88" i="6"/>
  <c r="D88" i="6"/>
  <c r="F37" i="6"/>
  <c r="E37" i="6"/>
  <c r="B37" i="6"/>
  <c r="D37" i="6"/>
  <c r="K13" i="26"/>
  <c r="G14" i="26"/>
  <c r="G34" i="1"/>
  <c r="Q96" i="13"/>
  <c r="N96" i="13"/>
  <c r="K96" i="13"/>
  <c r="H96" i="13"/>
  <c r="E96" i="13"/>
  <c r="G35" i="13"/>
  <c r="G35" i="12"/>
  <c r="K14" i="26"/>
  <c r="G15" i="26"/>
  <c r="B223" i="19"/>
  <c r="K15" i="26"/>
  <c r="G16" i="26"/>
  <c r="Q96" i="12"/>
  <c r="N96" i="12"/>
  <c r="K96" i="12"/>
  <c r="H96" i="12"/>
  <c r="E96" i="12"/>
  <c r="G17" i="26"/>
  <c r="K16" i="26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4" i="21"/>
  <c r="K17" i="26"/>
  <c r="F19" i="26"/>
  <c r="B35" i="25"/>
  <c r="B34" i="25"/>
  <c r="E87" i="6"/>
  <c r="B87" i="6"/>
  <c r="D87" i="6"/>
  <c r="B36" i="6"/>
  <c r="D36" i="6"/>
  <c r="Q94" i="1"/>
  <c r="N94" i="1"/>
  <c r="K94" i="1"/>
  <c r="H94" i="1"/>
  <c r="E94" i="1"/>
  <c r="G33" i="1"/>
  <c r="Q95" i="13"/>
  <c r="N95" i="13"/>
  <c r="K95" i="13"/>
  <c r="H95" i="13"/>
  <c r="E95" i="13"/>
  <c r="G34" i="13"/>
  <c r="G34" i="12"/>
  <c r="Q95" i="12"/>
  <c r="N95" i="12"/>
  <c r="K95" i="12"/>
  <c r="H95" i="12"/>
  <c r="E95" i="12"/>
  <c r="Q94" i="10"/>
  <c r="N94" i="10"/>
  <c r="K94" i="10"/>
  <c r="H94" i="10"/>
  <c r="E94" i="10"/>
  <c r="G33" i="10"/>
  <c r="B222" i="19"/>
  <c r="B159" i="19"/>
  <c r="B93" i="19"/>
  <c r="E4" i="21"/>
  <c r="E5" i="21"/>
  <c r="E6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33" i="21"/>
  <c r="E34" i="21"/>
  <c r="E35" i="21"/>
  <c r="E36" i="21"/>
  <c r="E37" i="21"/>
  <c r="E38" i="21"/>
  <c r="E39" i="21"/>
  <c r="F35" i="6"/>
  <c r="B35" i="6"/>
  <c r="D35" i="6"/>
  <c r="B86" i="6"/>
  <c r="D86" i="6"/>
  <c r="B221" i="19"/>
  <c r="B158" i="19"/>
  <c r="B92" i="19"/>
  <c r="Q93" i="10"/>
  <c r="N93" i="10"/>
  <c r="K93" i="10"/>
  <c r="H93" i="10"/>
  <c r="E93" i="10"/>
  <c r="G32" i="10"/>
  <c r="Q93" i="1"/>
  <c r="N93" i="1"/>
  <c r="K93" i="1"/>
  <c r="H93" i="1"/>
  <c r="E93" i="1"/>
  <c r="G32" i="1"/>
  <c r="Q94" i="13"/>
  <c r="N94" i="13"/>
  <c r="K94" i="13"/>
  <c r="H94" i="13"/>
  <c r="E94" i="13"/>
  <c r="G33" i="13"/>
  <c r="Q94" i="12"/>
  <c r="N94" i="12"/>
  <c r="K94" i="12"/>
  <c r="H94" i="12"/>
  <c r="E94" i="12"/>
  <c r="G33" i="12"/>
  <c r="F85" i="6"/>
  <c r="E85" i="6"/>
  <c r="B85" i="6"/>
  <c r="D85" i="6"/>
  <c r="F34" i="6"/>
  <c r="E34" i="6"/>
  <c r="F33" i="6"/>
  <c r="E33" i="6"/>
  <c r="B33" i="6"/>
  <c r="D33" i="6"/>
  <c r="B34" i="6"/>
  <c r="D34" i="6"/>
  <c r="Q92" i="10"/>
  <c r="N92" i="10"/>
  <c r="K92" i="10"/>
  <c r="H92" i="10"/>
  <c r="E92" i="10"/>
  <c r="G31" i="10"/>
  <c r="G31" i="1"/>
  <c r="Q92" i="1"/>
  <c r="N92" i="1"/>
  <c r="K92" i="1"/>
  <c r="H92" i="1"/>
  <c r="E92" i="1"/>
  <c r="Q93" i="13"/>
  <c r="N93" i="13"/>
  <c r="K93" i="13"/>
  <c r="H93" i="13"/>
  <c r="E93" i="13"/>
  <c r="G32" i="13"/>
  <c r="G32" i="12"/>
  <c r="E93" i="12"/>
  <c r="H93" i="12"/>
  <c r="K93" i="12"/>
  <c r="N93" i="12"/>
  <c r="Q93" i="12"/>
  <c r="B157" i="19"/>
  <c r="B91" i="19"/>
  <c r="B220" i="19"/>
  <c r="F84" i="6"/>
  <c r="E84" i="6"/>
  <c r="B84" i="6"/>
  <c r="D84" i="6"/>
  <c r="Q91" i="10"/>
  <c r="N91" i="10"/>
  <c r="K91" i="10"/>
  <c r="H91" i="10"/>
  <c r="E91" i="10"/>
  <c r="G30" i="10"/>
  <c r="Q91" i="1"/>
  <c r="N91" i="1"/>
  <c r="K91" i="1"/>
  <c r="H91" i="1"/>
  <c r="E91" i="1"/>
  <c r="G30" i="1"/>
  <c r="G31" i="13"/>
  <c r="Q92" i="13"/>
  <c r="N92" i="13"/>
  <c r="K92" i="13"/>
  <c r="H92" i="13"/>
  <c r="E92" i="13"/>
  <c r="Q92" i="12"/>
  <c r="N92" i="12"/>
  <c r="K92" i="12"/>
  <c r="H92" i="12"/>
  <c r="E92" i="12"/>
  <c r="G31" i="12"/>
  <c r="B156" i="19"/>
  <c r="B90" i="19"/>
  <c r="B219" i="19"/>
  <c r="E83" i="6"/>
  <c r="F32" i="6"/>
  <c r="E32" i="6"/>
  <c r="Q90" i="10"/>
  <c r="N90" i="10"/>
  <c r="K90" i="10"/>
  <c r="H90" i="10"/>
  <c r="E90" i="10"/>
  <c r="G29" i="10"/>
  <c r="Q90" i="1"/>
  <c r="N90" i="1"/>
  <c r="K90" i="1"/>
  <c r="H90" i="1"/>
  <c r="E90" i="1"/>
  <c r="G29" i="1"/>
  <c r="Q91" i="13"/>
  <c r="N91" i="13"/>
  <c r="K91" i="13"/>
  <c r="H91" i="13"/>
  <c r="E91" i="13"/>
  <c r="G30" i="13"/>
  <c r="Q91" i="12"/>
  <c r="N91" i="12"/>
  <c r="K91" i="12"/>
  <c r="H91" i="12"/>
  <c r="E91" i="12"/>
  <c r="G30" i="12"/>
  <c r="B218" i="19"/>
  <c r="B155" i="19"/>
  <c r="B89" i="19"/>
  <c r="F31" i="6"/>
  <c r="E31" i="6"/>
  <c r="F82" i="6"/>
  <c r="E82" i="6"/>
  <c r="B82" i="6"/>
  <c r="D82" i="6"/>
  <c r="F81" i="6"/>
  <c r="E81" i="6"/>
  <c r="B83" i="6"/>
  <c r="D83" i="6"/>
  <c r="B32" i="6"/>
  <c r="D32" i="6"/>
  <c r="B31" i="6"/>
  <c r="D31" i="6"/>
  <c r="Q89" i="10"/>
  <c r="N89" i="10"/>
  <c r="K89" i="10"/>
  <c r="H89" i="10"/>
  <c r="E89" i="10"/>
  <c r="G28" i="10"/>
  <c r="G28" i="1"/>
  <c r="Q89" i="1"/>
  <c r="N89" i="1"/>
  <c r="K89" i="1"/>
  <c r="H89" i="1"/>
  <c r="E89" i="1"/>
  <c r="Q90" i="13"/>
  <c r="N90" i="13"/>
  <c r="K90" i="13"/>
  <c r="H90" i="13"/>
  <c r="E90" i="13"/>
  <c r="G29" i="13"/>
  <c r="E90" i="12"/>
  <c r="H90" i="12"/>
  <c r="K90" i="12"/>
  <c r="N90" i="12"/>
  <c r="Q90" i="12"/>
  <c r="G29" i="12"/>
  <c r="B217" i="19"/>
  <c r="B154" i="19"/>
  <c r="B88" i="19"/>
  <c r="F30" i="6"/>
  <c r="B30" i="6"/>
  <c r="D30" i="6"/>
  <c r="D81" i="6"/>
  <c r="B81" i="6"/>
  <c r="Q88" i="10"/>
  <c r="N88" i="10"/>
  <c r="K88" i="10"/>
  <c r="H88" i="10"/>
  <c r="E88" i="10"/>
  <c r="G27" i="10"/>
  <c r="G27" i="1"/>
  <c r="Q88" i="1"/>
  <c r="N88" i="1"/>
  <c r="K88" i="1"/>
  <c r="H88" i="1"/>
  <c r="E88" i="1"/>
  <c r="Q89" i="13"/>
  <c r="N89" i="13"/>
  <c r="K89" i="13"/>
  <c r="H89" i="13"/>
  <c r="E89" i="13"/>
  <c r="G28" i="13"/>
  <c r="G28" i="12"/>
  <c r="Q89" i="12"/>
  <c r="N89" i="12"/>
  <c r="K89" i="12"/>
  <c r="H89" i="12"/>
  <c r="E89" i="12"/>
  <c r="B216" i="19"/>
  <c r="B153" i="19"/>
  <c r="B87" i="19"/>
  <c r="G26" i="1"/>
  <c r="H87" i="10"/>
  <c r="Q87" i="10"/>
  <c r="N87" i="10"/>
  <c r="K87" i="10"/>
  <c r="E87" i="10"/>
  <c r="G26" i="10"/>
  <c r="Q87" i="1"/>
  <c r="N87" i="1"/>
  <c r="K87" i="1"/>
  <c r="H87" i="1"/>
  <c r="Q88" i="13"/>
  <c r="N88" i="13"/>
  <c r="K88" i="13"/>
  <c r="H88" i="13"/>
  <c r="E88" i="13"/>
  <c r="G27" i="13"/>
  <c r="Q88" i="12"/>
  <c r="N88" i="12"/>
  <c r="K88" i="12"/>
  <c r="H88" i="12"/>
  <c r="E88" i="12"/>
  <c r="G27" i="12"/>
  <c r="F29" i="6"/>
  <c r="E29" i="6"/>
  <c r="F80" i="6"/>
  <c r="E80" i="6"/>
  <c r="D80" i="6"/>
  <c r="B80" i="6"/>
  <c r="B29" i="6"/>
  <c r="D29" i="6"/>
  <c r="B18" i="19"/>
  <c r="B86" i="19"/>
  <c r="B152" i="19"/>
  <c r="B215" i="19"/>
  <c r="F79" i="6"/>
  <c r="D79" i="6"/>
  <c r="B79" i="6"/>
  <c r="F28" i="6"/>
  <c r="B28" i="6"/>
  <c r="D28" i="6"/>
  <c r="Q86" i="10"/>
  <c r="N86" i="10"/>
  <c r="K86" i="10"/>
  <c r="H86" i="10"/>
  <c r="E86" i="10"/>
  <c r="G25" i="10"/>
  <c r="G25" i="1"/>
  <c r="Q86" i="1"/>
  <c r="N86" i="1"/>
  <c r="K86" i="1"/>
  <c r="H86" i="1"/>
  <c r="Q87" i="13"/>
  <c r="N87" i="13"/>
  <c r="K87" i="13"/>
  <c r="H87" i="13"/>
  <c r="E87" i="13"/>
  <c r="G26" i="13"/>
  <c r="Q87" i="12"/>
  <c r="N87" i="12"/>
  <c r="K87" i="12"/>
  <c r="H87" i="12"/>
  <c r="E87" i="12"/>
  <c r="G26" i="12"/>
  <c r="B17" i="19"/>
  <c r="B214" i="19"/>
  <c r="Q85" i="10"/>
  <c r="N85" i="10"/>
  <c r="K85" i="10"/>
  <c r="H85" i="10"/>
  <c r="E85" i="10"/>
  <c r="G24" i="10"/>
  <c r="G24" i="1"/>
  <c r="Q85" i="1"/>
  <c r="N85" i="1"/>
  <c r="K85" i="1"/>
  <c r="H85" i="1"/>
  <c r="E85" i="1"/>
  <c r="Q86" i="13"/>
  <c r="N86" i="13"/>
  <c r="K86" i="13"/>
  <c r="H86" i="13"/>
  <c r="E86" i="13"/>
  <c r="G25" i="13"/>
  <c r="G25" i="12"/>
  <c r="Q86" i="12"/>
  <c r="N86" i="12"/>
  <c r="K86" i="12"/>
  <c r="H86" i="12"/>
  <c r="E86" i="12"/>
  <c r="F27" i="6"/>
  <c r="E27" i="6"/>
  <c r="B27" i="6"/>
  <c r="D27" i="6"/>
  <c r="F26" i="6"/>
  <c r="B26" i="6"/>
  <c r="D26" i="6"/>
  <c r="F78" i="6"/>
  <c r="E78" i="6"/>
  <c r="D78" i="6"/>
  <c r="B78" i="6"/>
  <c r="F77" i="6"/>
  <c r="D77" i="6"/>
  <c r="B77" i="6"/>
  <c r="B16" i="19"/>
  <c r="B84" i="19"/>
  <c r="B150" i="19"/>
  <c r="B213" i="19"/>
  <c r="F27" i="22"/>
  <c r="A18" i="22"/>
  <c r="B14" i="22"/>
  <c r="E14" i="22"/>
  <c r="B6" i="22"/>
  <c r="B8" i="22"/>
  <c r="E8" i="22"/>
  <c r="B11" i="22"/>
  <c r="E11" i="22"/>
  <c r="B12" i="22"/>
  <c r="E12" i="22"/>
  <c r="B7" i="22"/>
  <c r="E7" i="22"/>
  <c r="B15" i="22"/>
  <c r="E15" i="22"/>
  <c r="B9" i="22"/>
  <c r="E9" i="22"/>
  <c r="B13" i="22"/>
  <c r="E13" i="22"/>
  <c r="B17" i="22"/>
  <c r="E17" i="22"/>
  <c r="B16" i="22"/>
  <c r="E16" i="22"/>
  <c r="B10" i="22"/>
  <c r="E10" i="22"/>
  <c r="B18" i="22"/>
  <c r="E6" i="22"/>
  <c r="F6" i="22"/>
  <c r="H6" i="22"/>
  <c r="H7" i="22"/>
  <c r="J6" i="22"/>
  <c r="F7" i="22"/>
  <c r="B149" i="19"/>
  <c r="H8" i="22"/>
  <c r="J7" i="22"/>
  <c r="F8" i="22"/>
  <c r="G23" i="10"/>
  <c r="Q84" i="10"/>
  <c r="N84" i="10"/>
  <c r="K84" i="10"/>
  <c r="H84" i="10"/>
  <c r="E84" i="10"/>
  <c r="Q84" i="1"/>
  <c r="N84" i="1"/>
  <c r="K84" i="1"/>
  <c r="H84" i="1"/>
  <c r="E84" i="1"/>
  <c r="G22" i="1"/>
  <c r="G23" i="1"/>
  <c r="Q85" i="13"/>
  <c r="N85" i="13"/>
  <c r="K85" i="13"/>
  <c r="H85" i="13"/>
  <c r="E85" i="13"/>
  <c r="G24" i="13"/>
  <c r="Q85" i="12"/>
  <c r="N85" i="12"/>
  <c r="K85" i="12"/>
  <c r="H85" i="12"/>
  <c r="E85" i="12"/>
  <c r="G24" i="12"/>
  <c r="A4" i="21"/>
  <c r="A5" i="21"/>
  <c r="A6" i="21"/>
  <c r="A7" i="21"/>
  <c r="A8" i="21"/>
  <c r="A9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6" i="21"/>
  <c r="A27" i="21"/>
  <c r="A28" i="21"/>
  <c r="A29" i="21"/>
  <c r="A30" i="21"/>
  <c r="A31" i="21"/>
  <c r="A32" i="21"/>
  <c r="A33" i="21"/>
  <c r="A34" i="21"/>
  <c r="A35" i="21"/>
  <c r="A36" i="21"/>
  <c r="A37" i="21"/>
  <c r="A38" i="21"/>
  <c r="A39" i="21"/>
  <c r="A40" i="21"/>
  <c r="A41" i="21"/>
  <c r="A42" i="21"/>
  <c r="A43" i="21"/>
  <c r="A44" i="21"/>
  <c r="A45" i="21"/>
  <c r="H9" i="22"/>
  <c r="J8" i="22"/>
  <c r="F9" i="22"/>
  <c r="B212" i="19"/>
  <c r="H10" i="22"/>
  <c r="J9" i="22"/>
  <c r="F10" i="22"/>
  <c r="B83" i="19"/>
  <c r="B15" i="19"/>
  <c r="H11" i="22"/>
  <c r="J10" i="22"/>
  <c r="F11" i="22"/>
  <c r="F25" i="6"/>
  <c r="E25" i="6"/>
  <c r="B25" i="6"/>
  <c r="D25" i="6"/>
  <c r="F24" i="6"/>
  <c r="E24" i="6"/>
  <c r="F76" i="6"/>
  <c r="E76" i="6"/>
  <c r="F75" i="6"/>
  <c r="D75" i="6"/>
  <c r="B75" i="6"/>
  <c r="F74" i="6"/>
  <c r="D74" i="6"/>
  <c r="B74" i="6"/>
  <c r="B24" i="6"/>
  <c r="D24" i="6"/>
  <c r="H12" i="22"/>
  <c r="J11" i="22"/>
  <c r="D76" i="6"/>
  <c r="B76" i="6"/>
  <c r="F12" i="22"/>
  <c r="E83" i="10"/>
  <c r="Q83" i="10"/>
  <c r="N83" i="10"/>
  <c r="K83" i="10"/>
  <c r="H83" i="10"/>
  <c r="G22" i="10"/>
  <c r="Q83" i="1"/>
  <c r="N83" i="1"/>
  <c r="K83" i="1"/>
  <c r="H83" i="1"/>
  <c r="E83" i="1"/>
  <c r="G23" i="13"/>
  <c r="Q84" i="13"/>
  <c r="N84" i="13"/>
  <c r="K84" i="13"/>
  <c r="H84" i="13"/>
  <c r="E84" i="13"/>
  <c r="Q84" i="12"/>
  <c r="N84" i="12"/>
  <c r="K84" i="12"/>
  <c r="H84" i="12"/>
  <c r="E84" i="12"/>
  <c r="G23" i="12"/>
  <c r="H13" i="22"/>
  <c r="J12" i="22"/>
  <c r="F13" i="22"/>
  <c r="B211" i="19"/>
  <c r="B148" i="19"/>
  <c r="B82" i="19"/>
  <c r="B14" i="19"/>
  <c r="H14" i="22"/>
  <c r="J13" i="22"/>
  <c r="F14" i="22"/>
  <c r="H15" i="22"/>
  <c r="J14" i="22"/>
  <c r="F15" i="22"/>
  <c r="G21" i="10"/>
  <c r="Q82" i="10"/>
  <c r="N82" i="10"/>
  <c r="K82" i="10"/>
  <c r="H82" i="10"/>
  <c r="E82" i="10"/>
  <c r="K82" i="1"/>
  <c r="Q82" i="1"/>
  <c r="H82" i="1"/>
  <c r="E82" i="1"/>
  <c r="G21" i="1"/>
  <c r="Q83" i="13"/>
  <c r="N83" i="13"/>
  <c r="K83" i="13"/>
  <c r="H83" i="13"/>
  <c r="E83" i="13"/>
  <c r="G22" i="13"/>
  <c r="G22" i="12"/>
  <c r="K83" i="12"/>
  <c r="Q83" i="12"/>
  <c r="N83" i="12"/>
  <c r="H83" i="12"/>
  <c r="E83" i="12"/>
  <c r="H16" i="22"/>
  <c r="J15" i="22"/>
  <c r="F16" i="22"/>
  <c r="B210" i="19"/>
  <c r="B147" i="19"/>
  <c r="B81" i="19"/>
  <c r="B13" i="19"/>
  <c r="H17" i="22"/>
  <c r="J16" i="22"/>
  <c r="F17" i="22"/>
  <c r="F23" i="6"/>
  <c r="E23" i="6"/>
  <c r="B23" i="6"/>
  <c r="D23" i="6"/>
  <c r="J17" i="22"/>
  <c r="Q81" i="10"/>
  <c r="N81" i="10"/>
  <c r="K81" i="10"/>
  <c r="H81" i="10"/>
  <c r="E81" i="10"/>
  <c r="Q81" i="1"/>
  <c r="K81" i="1"/>
  <c r="H81" i="1"/>
  <c r="E81" i="1"/>
  <c r="K82" i="12"/>
  <c r="H82" i="12"/>
  <c r="Q82" i="12"/>
  <c r="N82" i="12"/>
  <c r="E82" i="12"/>
  <c r="Q82" i="13"/>
  <c r="N82" i="13"/>
  <c r="K82" i="13"/>
  <c r="H82" i="13"/>
  <c r="E82" i="13"/>
  <c r="G21" i="13"/>
  <c r="G20" i="1"/>
  <c r="G21" i="12"/>
  <c r="G20" i="10"/>
  <c r="B209" i="19"/>
  <c r="B12" i="19"/>
  <c r="F22" i="6"/>
  <c r="E22" i="6"/>
  <c r="E73" i="6"/>
  <c r="D73" i="6"/>
  <c r="B73" i="6"/>
  <c r="B22" i="6"/>
  <c r="D22" i="6"/>
  <c r="Q80" i="10"/>
  <c r="N80" i="10"/>
  <c r="K80" i="10"/>
  <c r="H80" i="10"/>
  <c r="E80" i="10"/>
  <c r="G19" i="10"/>
  <c r="G19" i="1"/>
  <c r="Q80" i="1"/>
  <c r="K80" i="1"/>
  <c r="H80" i="1"/>
  <c r="E80" i="1"/>
  <c r="Q81" i="13"/>
  <c r="N81" i="13"/>
  <c r="K81" i="13"/>
  <c r="H81" i="13"/>
  <c r="E81" i="13"/>
  <c r="G20" i="13"/>
  <c r="Q81" i="12"/>
  <c r="N81" i="12"/>
  <c r="K81" i="12"/>
  <c r="H81" i="12"/>
  <c r="E81" i="12"/>
  <c r="G20" i="12"/>
  <c r="B208" i="19"/>
  <c r="B145" i="19"/>
  <c r="B79" i="19"/>
  <c r="B11" i="19"/>
  <c r="G18" i="1"/>
  <c r="F21" i="6"/>
  <c r="E21" i="6"/>
  <c r="F72" i="6"/>
  <c r="E72" i="6"/>
  <c r="D72" i="6"/>
  <c r="B72" i="6"/>
  <c r="B21" i="6"/>
  <c r="D21" i="6"/>
  <c r="Q79" i="10"/>
  <c r="N79" i="10"/>
  <c r="K79" i="10"/>
  <c r="H79" i="10"/>
  <c r="E79" i="10"/>
  <c r="Q79" i="1"/>
  <c r="E79" i="1"/>
  <c r="Q80" i="13"/>
  <c r="N80" i="13"/>
  <c r="K80" i="13"/>
  <c r="H80" i="13"/>
  <c r="E80" i="13"/>
  <c r="Q80" i="12"/>
  <c r="N80" i="12"/>
  <c r="K80" i="12"/>
  <c r="H80" i="12"/>
  <c r="E80" i="12"/>
  <c r="G18" i="10"/>
  <c r="G17" i="1"/>
  <c r="G19" i="13"/>
  <c r="G19" i="12"/>
  <c r="B207" i="19"/>
  <c r="B144" i="19"/>
  <c r="B78" i="19"/>
  <c r="B10" i="19"/>
  <c r="B18" i="6"/>
  <c r="D18" i="6"/>
  <c r="B19" i="6"/>
  <c r="D19" i="6"/>
  <c r="B20" i="6"/>
  <c r="D20" i="6"/>
  <c r="F71" i="6"/>
  <c r="F70" i="6"/>
  <c r="D70" i="6"/>
  <c r="B70" i="6"/>
  <c r="F69" i="6"/>
  <c r="D69" i="6"/>
  <c r="B69" i="6"/>
  <c r="D71" i="6"/>
  <c r="B71" i="6"/>
  <c r="B206" i="19"/>
  <c r="Q78" i="1"/>
  <c r="E78" i="1"/>
  <c r="G17" i="10"/>
  <c r="Q78" i="10"/>
  <c r="N78" i="10"/>
  <c r="K78" i="10"/>
  <c r="H78" i="10"/>
  <c r="E78" i="10"/>
  <c r="Q79" i="12"/>
  <c r="N79" i="12"/>
  <c r="K79" i="12"/>
  <c r="H79" i="12"/>
  <c r="E79" i="12"/>
  <c r="G18" i="12"/>
  <c r="G18" i="13"/>
  <c r="Q79" i="13"/>
  <c r="N79" i="13"/>
  <c r="K79" i="13"/>
  <c r="H79" i="13"/>
  <c r="E79" i="13"/>
  <c r="B143" i="19"/>
  <c r="B77" i="19"/>
  <c r="B9" i="19"/>
  <c r="E77" i="1"/>
  <c r="Q77" i="1"/>
  <c r="E77" i="10"/>
  <c r="H77" i="10"/>
  <c r="K77" i="10"/>
  <c r="N77" i="10"/>
  <c r="Q77" i="10"/>
  <c r="E78" i="12"/>
  <c r="H78" i="12"/>
  <c r="K78" i="12"/>
  <c r="N78" i="12"/>
  <c r="Q78" i="12"/>
  <c r="E78" i="13"/>
  <c r="H78" i="13"/>
  <c r="K78" i="13"/>
  <c r="N78" i="13"/>
  <c r="Q78" i="13"/>
  <c r="G16" i="1"/>
  <c r="G16" i="10"/>
  <c r="G17" i="12"/>
  <c r="G17" i="13"/>
  <c r="B142" i="19"/>
  <c r="B76" i="19"/>
  <c r="B8" i="19"/>
  <c r="B205" i="19"/>
  <c r="Q76" i="1"/>
  <c r="E76" i="1"/>
  <c r="G15" i="1"/>
  <c r="Q76" i="10"/>
  <c r="N76" i="10"/>
  <c r="K76" i="10"/>
  <c r="H76" i="10"/>
  <c r="E76" i="10"/>
  <c r="G15" i="10"/>
  <c r="Q77" i="12"/>
  <c r="N77" i="12"/>
  <c r="K77" i="12"/>
  <c r="H77" i="12"/>
  <c r="E77" i="12"/>
  <c r="G16" i="12"/>
  <c r="Q77" i="13"/>
  <c r="N77" i="13"/>
  <c r="K77" i="13"/>
  <c r="H77" i="13"/>
  <c r="E77" i="13"/>
  <c r="G16" i="13"/>
  <c r="B141" i="19"/>
  <c r="B75" i="19"/>
  <c r="B7" i="19"/>
  <c r="B5" i="19"/>
  <c r="B6" i="19"/>
  <c r="B72" i="19"/>
  <c r="B73" i="19"/>
  <c r="B4" i="19"/>
  <c r="B74" i="19"/>
  <c r="Q75" i="1"/>
  <c r="E75" i="1"/>
  <c r="Q75" i="10"/>
  <c r="N75" i="10"/>
  <c r="K75" i="10"/>
  <c r="H75" i="10"/>
  <c r="E75" i="10"/>
  <c r="G14" i="10"/>
  <c r="G15" i="12"/>
  <c r="E76" i="12"/>
  <c r="H76" i="12"/>
  <c r="K76" i="12"/>
  <c r="N76" i="12"/>
  <c r="Q76" i="12"/>
  <c r="Q76" i="13"/>
  <c r="N76" i="13"/>
  <c r="K76" i="13"/>
  <c r="H76" i="13"/>
  <c r="E76" i="13"/>
  <c r="G15" i="13"/>
  <c r="D68" i="6"/>
  <c r="B68" i="6"/>
  <c r="B17" i="6"/>
  <c r="D17" i="6"/>
  <c r="B140" i="19"/>
  <c r="Q74" i="10"/>
  <c r="N74" i="10"/>
  <c r="K74" i="10"/>
  <c r="H74" i="10"/>
  <c r="E74" i="10"/>
  <c r="E67" i="6"/>
  <c r="D67" i="6"/>
  <c r="B67" i="6"/>
  <c r="E16" i="6"/>
  <c r="B16" i="6"/>
  <c r="D16" i="6"/>
  <c r="Q74" i="1"/>
  <c r="E74" i="1"/>
  <c r="Q75" i="13"/>
  <c r="N75" i="13"/>
  <c r="K75" i="13"/>
  <c r="H75" i="13"/>
  <c r="E75" i="13"/>
  <c r="Q75" i="12"/>
  <c r="N75" i="12"/>
  <c r="K75" i="12"/>
  <c r="H75" i="12"/>
  <c r="E75" i="12"/>
  <c r="G13" i="10"/>
  <c r="G13" i="1"/>
  <c r="G14" i="13"/>
  <c r="Q66" i="1"/>
  <c r="Q67" i="1"/>
  <c r="Q68" i="1"/>
  <c r="Q69" i="1"/>
  <c r="Q70" i="1"/>
  <c r="Q71" i="1"/>
  <c r="Q72" i="1"/>
  <c r="E66" i="1"/>
  <c r="E67" i="1"/>
  <c r="E69" i="1"/>
  <c r="E70" i="1"/>
  <c r="E71" i="1"/>
  <c r="E72" i="1"/>
  <c r="Q60" i="10"/>
  <c r="Q61" i="10"/>
  <c r="Q62" i="10"/>
  <c r="Q63" i="10"/>
  <c r="Q65" i="10"/>
  <c r="Q66" i="10"/>
  <c r="Q67" i="10"/>
  <c r="Q68" i="10"/>
  <c r="Q69" i="10"/>
  <c r="Q70" i="10"/>
  <c r="Q71" i="10"/>
  <c r="Q72" i="10"/>
  <c r="N60" i="10"/>
  <c r="N61" i="10"/>
  <c r="N62" i="10"/>
  <c r="N63" i="10"/>
  <c r="N65" i="10"/>
  <c r="N66" i="10"/>
  <c r="N67" i="10"/>
  <c r="N68" i="10"/>
  <c r="N69" i="10"/>
  <c r="N70" i="10"/>
  <c r="N71" i="10"/>
  <c r="N72" i="10"/>
  <c r="K60" i="10"/>
  <c r="K61" i="10"/>
  <c r="K62" i="10"/>
  <c r="K63" i="10"/>
  <c r="K65" i="10"/>
  <c r="K66" i="10"/>
  <c r="K67" i="10"/>
  <c r="K68" i="10"/>
  <c r="K69" i="10"/>
  <c r="K70" i="10"/>
  <c r="K71" i="10"/>
  <c r="K72" i="10"/>
  <c r="H60" i="10"/>
  <c r="H61" i="10"/>
  <c r="H62" i="10"/>
  <c r="H63" i="10"/>
  <c r="H65" i="10"/>
  <c r="H66" i="10"/>
  <c r="H67" i="10"/>
  <c r="H68" i="10"/>
  <c r="H69" i="10"/>
  <c r="H70" i="10"/>
  <c r="H71" i="10"/>
  <c r="H72" i="10"/>
  <c r="E60" i="10"/>
  <c r="E61" i="10"/>
  <c r="E62" i="10"/>
  <c r="E63" i="10"/>
  <c r="E64" i="10"/>
  <c r="E65" i="10"/>
  <c r="E66" i="10"/>
  <c r="E67" i="10"/>
  <c r="E69" i="10"/>
  <c r="E70" i="10"/>
  <c r="E71" i="10"/>
  <c r="E72" i="10"/>
  <c r="G3" i="12"/>
  <c r="Q66" i="12"/>
  <c r="Q67" i="12"/>
  <c r="Q68" i="12"/>
  <c r="Q69" i="12"/>
  <c r="Q70" i="12"/>
  <c r="Q71" i="12"/>
  <c r="Q72" i="12"/>
  <c r="Q73" i="12"/>
  <c r="N66" i="12"/>
  <c r="N67" i="12"/>
  <c r="N68" i="12"/>
  <c r="N69" i="12"/>
  <c r="N70" i="12"/>
  <c r="N71" i="12"/>
  <c r="N72" i="12"/>
  <c r="N73" i="12"/>
  <c r="K66" i="12"/>
  <c r="K67" i="12"/>
  <c r="K68" i="12"/>
  <c r="K69" i="12"/>
  <c r="K70" i="12"/>
  <c r="K71" i="12"/>
  <c r="K72" i="12"/>
  <c r="K73" i="12"/>
  <c r="H66" i="12"/>
  <c r="H67" i="12"/>
  <c r="H68" i="12"/>
  <c r="H69" i="12"/>
  <c r="H70" i="12"/>
  <c r="H71" i="12"/>
  <c r="H72" i="12"/>
  <c r="H73" i="12"/>
  <c r="H74" i="12"/>
  <c r="E61" i="12"/>
  <c r="E62" i="12"/>
  <c r="E63" i="12"/>
  <c r="E64" i="12"/>
  <c r="E65" i="12"/>
  <c r="E66" i="12"/>
  <c r="E67" i="12"/>
  <c r="E68" i="12"/>
  <c r="E69" i="12"/>
  <c r="E71" i="12"/>
  <c r="E72" i="12"/>
  <c r="E73" i="12"/>
  <c r="G3" i="13"/>
  <c r="G4" i="13"/>
  <c r="G5" i="13"/>
  <c r="G6" i="13"/>
  <c r="G7" i="13"/>
  <c r="G8" i="13"/>
  <c r="G9" i="13"/>
  <c r="G10" i="13"/>
  <c r="G11" i="13"/>
  <c r="G12" i="13"/>
  <c r="E61" i="13"/>
  <c r="E62" i="13"/>
  <c r="E63" i="13"/>
  <c r="E64" i="13"/>
  <c r="E65" i="13"/>
  <c r="E66" i="13"/>
  <c r="E67" i="13"/>
  <c r="E68" i="13"/>
  <c r="E69" i="13"/>
  <c r="E71" i="13"/>
  <c r="E72" i="13"/>
  <c r="E73" i="13"/>
  <c r="Q66" i="13"/>
  <c r="Q67" i="13"/>
  <c r="Q68" i="13"/>
  <c r="Q69" i="13"/>
  <c r="Q70" i="13"/>
  <c r="Q71" i="13"/>
  <c r="Q72" i="13"/>
  <c r="Q73" i="13"/>
  <c r="N66" i="13"/>
  <c r="N67" i="13"/>
  <c r="N68" i="13"/>
  <c r="N69" i="13"/>
  <c r="N70" i="13"/>
  <c r="N71" i="13"/>
  <c r="N72" i="13"/>
  <c r="N73" i="13"/>
  <c r="K66" i="13"/>
  <c r="K67" i="13"/>
  <c r="K68" i="13"/>
  <c r="K69" i="13"/>
  <c r="K70" i="13"/>
  <c r="K71" i="13"/>
  <c r="K72" i="13"/>
  <c r="K73" i="13"/>
  <c r="H66" i="13"/>
  <c r="H67" i="13"/>
  <c r="H68" i="13"/>
  <c r="H69" i="13"/>
  <c r="H70" i="13"/>
  <c r="H71" i="13"/>
  <c r="H72" i="13"/>
  <c r="H73" i="13"/>
  <c r="B139" i="19"/>
  <c r="F15" i="6"/>
  <c r="E15" i="6"/>
  <c r="B15" i="6"/>
  <c r="D15" i="6"/>
  <c r="E74" i="12"/>
  <c r="B138" i="19"/>
  <c r="Q73" i="10"/>
  <c r="N73" i="10"/>
  <c r="K73" i="10"/>
  <c r="H73" i="10"/>
  <c r="E73" i="10"/>
  <c r="Q73" i="1"/>
  <c r="E73" i="1"/>
  <c r="Q74" i="12"/>
  <c r="N74" i="12"/>
  <c r="K74" i="12"/>
  <c r="Q74" i="13"/>
  <c r="N74" i="13"/>
  <c r="K74" i="13"/>
  <c r="H74" i="13"/>
  <c r="E74" i="13"/>
  <c r="F66" i="6"/>
  <c r="E66" i="6"/>
  <c r="D66" i="6"/>
  <c r="B66" i="6"/>
  <c r="G12" i="10"/>
  <c r="G12" i="1"/>
  <c r="G13" i="13"/>
  <c r="F14" i="6"/>
  <c r="B14" i="6"/>
  <c r="D14" i="6"/>
  <c r="E65" i="6"/>
  <c r="D65" i="6"/>
  <c r="B65" i="6"/>
  <c r="G11" i="10"/>
  <c r="K72" i="1"/>
  <c r="G12" i="12"/>
  <c r="E64" i="6"/>
  <c r="F64" i="6"/>
  <c r="D64" i="6"/>
  <c r="B64" i="6"/>
  <c r="E63" i="6"/>
  <c r="F63" i="6"/>
  <c r="D63" i="6"/>
  <c r="B63" i="6"/>
  <c r="F62" i="6"/>
  <c r="D62" i="6"/>
  <c r="B62" i="6"/>
  <c r="F11" i="6"/>
  <c r="E11" i="6"/>
  <c r="B11" i="6"/>
  <c r="D11" i="6"/>
  <c r="F13" i="6"/>
  <c r="B13" i="6"/>
  <c r="D13" i="6"/>
  <c r="F12" i="6"/>
  <c r="B12" i="6"/>
  <c r="D12" i="6"/>
  <c r="F10" i="6"/>
  <c r="E10" i="6"/>
  <c r="B10" i="6"/>
  <c r="D10" i="6"/>
  <c r="N71" i="1"/>
  <c r="N70" i="1" s="1"/>
  <c r="N69" i="1" s="1"/>
  <c r="N68" i="1" s="1"/>
  <c r="N67" i="1" s="1"/>
  <c r="G10" i="10"/>
  <c r="G9" i="10"/>
  <c r="G8" i="1"/>
  <c r="H66" i="1"/>
  <c r="E61" i="1"/>
  <c r="E62" i="1"/>
  <c r="E63" i="1"/>
  <c r="E60" i="1"/>
  <c r="N66" i="1"/>
  <c r="K66" i="1"/>
  <c r="B143" i="1"/>
  <c r="C68" i="1"/>
  <c r="E68" i="1" s="1"/>
  <c r="D68" i="1"/>
  <c r="C68" i="10"/>
  <c r="D68" i="10"/>
  <c r="B143" i="12"/>
  <c r="B142" i="12"/>
  <c r="D70" i="12"/>
  <c r="C70" i="12"/>
  <c r="E70" i="12" s="1"/>
  <c r="B144" i="13"/>
  <c r="B143" i="13"/>
  <c r="D70" i="13"/>
  <c r="C70" i="13"/>
  <c r="G8" i="10"/>
  <c r="E61" i="6"/>
  <c r="D61" i="6"/>
  <c r="B61" i="6"/>
  <c r="E60" i="6"/>
  <c r="D60" i="6"/>
  <c r="B60" i="6"/>
  <c r="F9" i="6"/>
  <c r="E9" i="6"/>
  <c r="G14" i="12"/>
  <c r="G13" i="12"/>
  <c r="G11" i="12"/>
  <c r="G10" i="12"/>
  <c r="G9" i="12"/>
  <c r="G8" i="12"/>
  <c r="G7" i="12"/>
  <c r="G6" i="12"/>
  <c r="G5" i="12"/>
  <c r="G4" i="12"/>
  <c r="G7" i="10"/>
  <c r="G6" i="10"/>
  <c r="G5" i="10"/>
  <c r="G4" i="10"/>
  <c r="G3" i="10"/>
  <c r="G2" i="10"/>
  <c r="E8" i="6"/>
  <c r="B8" i="6"/>
  <c r="D8" i="6"/>
  <c r="D58" i="6"/>
  <c r="B58" i="6"/>
  <c r="E59" i="6"/>
  <c r="D59" i="6"/>
  <c r="B59" i="6"/>
  <c r="F7" i="6"/>
  <c r="E7" i="6"/>
  <c r="B7" i="6"/>
  <c r="D7" i="6"/>
  <c r="B5" i="6"/>
  <c r="D5" i="6"/>
  <c r="F6" i="6"/>
  <c r="E6" i="6"/>
  <c r="F4" i="6"/>
  <c r="B4" i="6"/>
  <c r="D4" i="6"/>
  <c r="E57" i="6"/>
  <c r="D57" i="6"/>
  <c r="B57" i="6"/>
  <c r="G11" i="1"/>
  <c r="G10" i="1"/>
  <c r="G9" i="1"/>
  <c r="G7" i="1"/>
  <c r="G6" i="1"/>
  <c r="G5" i="1"/>
  <c r="G4" i="1"/>
  <c r="G3" i="1"/>
  <c r="G2" i="1"/>
  <c r="B6" i="6"/>
  <c r="D6" i="6"/>
  <c r="B9" i="6"/>
  <c r="D9" i="6"/>
  <c r="E68" i="10"/>
  <c r="E70" i="13"/>
  <c r="G10" i="27"/>
  <c r="G11" i="27"/>
  <c r="G12" i="27"/>
  <c r="G13" i="27"/>
  <c r="G14" i="27"/>
  <c r="G15" i="27"/>
  <c r="G16" i="27"/>
  <c r="G17" i="27"/>
  <c r="G18" i="27"/>
  <c r="F20" i="27"/>
  <c r="I8" i="27" l="1"/>
  <c r="K8" i="27" s="1"/>
  <c r="I9" i="27" l="1"/>
  <c r="I10" i="27" s="1"/>
  <c r="K9" i="27" l="1"/>
  <c r="I11" i="27"/>
  <c r="K10" i="27"/>
  <c r="I12" i="27" l="1"/>
  <c r="K11" i="27"/>
  <c r="K12" i="27" l="1"/>
  <c r="I13" i="27"/>
  <c r="I14" i="27" l="1"/>
  <c r="K13" i="27"/>
  <c r="I15" i="27" l="1"/>
  <c r="K14" i="27"/>
  <c r="I16" i="27" l="1"/>
  <c r="K15" i="27"/>
  <c r="I17" i="27" l="1"/>
  <c r="K16" i="27"/>
  <c r="K17" i="27" l="1"/>
  <c r="I18" i="27"/>
  <c r="K18" i="27" s="1"/>
</calcChain>
</file>

<file path=xl/sharedStrings.xml><?xml version="1.0" encoding="utf-8"?>
<sst xmlns="http://schemas.openxmlformats.org/spreadsheetml/2006/main" count="1564" uniqueCount="535">
  <si>
    <t>Total #</t>
  </si>
  <si>
    <t xml:space="preserve">  &gt; 30 Days Old</t>
  </si>
  <si>
    <t>Goal</t>
  </si>
  <si>
    <t>Actual</t>
  </si>
  <si>
    <t>Emergency</t>
  </si>
  <si>
    <t>High</t>
  </si>
  <si>
    <t>Medium</t>
  </si>
  <si>
    <t>Low</t>
  </si>
  <si>
    <t>September</t>
  </si>
  <si>
    <t>August</t>
  </si>
  <si>
    <t>July</t>
  </si>
  <si>
    <t>June</t>
  </si>
  <si>
    <t>May</t>
  </si>
  <si>
    <t>April</t>
  </si>
  <si>
    <t>March</t>
  </si>
  <si>
    <t>February</t>
  </si>
  <si>
    <t>January</t>
  </si>
  <si>
    <t>December</t>
  </si>
  <si>
    <t>November</t>
  </si>
  <si>
    <t>October</t>
  </si>
  <si>
    <t>Over/Under Budget</t>
  </si>
  <si>
    <t>Actual YTD</t>
  </si>
  <si>
    <t>Actual Current Month</t>
  </si>
  <si>
    <t>Budget YTD</t>
  </si>
  <si>
    <t>Budget Current Month</t>
  </si>
  <si>
    <t>Budget</t>
  </si>
  <si>
    <t>total # responses</t>
  </si>
  <si>
    <t>Feb</t>
  </si>
  <si>
    <t>1=strongly disagree</t>
  </si>
  <si>
    <t>5=strongly agree</t>
  </si>
  <si>
    <t>Date</t>
  </si>
  <si>
    <t>Process Requisitions</t>
  </si>
  <si>
    <t>% in 2 days or less</t>
  </si>
  <si>
    <t>% of Days  processed &gt; 2 days</t>
  </si>
  <si>
    <t>Process Invoices</t>
  </si>
  <si>
    <t>No of Trans processed</t>
  </si>
  <si>
    <t>No of Trans processed on time</t>
  </si>
  <si>
    <t>% Processed &gt; 2 days</t>
  </si>
  <si>
    <t xml:space="preserve">Average Work Order Survey Scores </t>
  </si>
  <si>
    <t>-</t>
  </si>
  <si>
    <t>% in 30 days or less</t>
  </si>
  <si>
    <t>Total completed</t>
  </si>
  <si>
    <t>Total completed on time</t>
  </si>
  <si>
    <t>878</t>
  </si>
  <si>
    <t>1066</t>
  </si>
  <si>
    <t>933</t>
  </si>
  <si>
    <t>667</t>
  </si>
  <si>
    <t>1014</t>
  </si>
  <si>
    <t>763</t>
  </si>
  <si>
    <t>607</t>
  </si>
  <si>
    <t>810</t>
  </si>
  <si>
    <t>670</t>
  </si>
  <si>
    <t>709</t>
  </si>
  <si>
    <t>862</t>
  </si>
  <si>
    <t>888</t>
  </si>
  <si>
    <t>571</t>
  </si>
  <si>
    <t>698</t>
  </si>
  <si>
    <t>Month</t>
  </si>
  <si>
    <t>26</t>
  </si>
  <si>
    <t>11</t>
  </si>
  <si>
    <t>14</t>
  </si>
  <si>
    <t>282</t>
  </si>
  <si>
    <t>171</t>
  </si>
  <si>
    <t>209</t>
  </si>
  <si>
    <t>292</t>
  </si>
  <si>
    <t>421</t>
  </si>
  <si>
    <t>241</t>
  </si>
  <si>
    <t>428</t>
  </si>
  <si>
    <t>297</t>
  </si>
  <si>
    <t>133</t>
  </si>
  <si>
    <t>148</t>
  </si>
  <si>
    <t>178</t>
  </si>
  <si>
    <t>142</t>
  </si>
  <si>
    <t>10</t>
  </si>
  <si>
    <t>44</t>
  </si>
  <si>
    <t>5</t>
  </si>
  <si>
    <t>4</t>
  </si>
  <si>
    <t>49</t>
  </si>
  <si>
    <t>98</t>
  </si>
  <si>
    <t>213</t>
  </si>
  <si>
    <t>147</t>
  </si>
  <si>
    <t>128</t>
  </si>
  <si>
    <t>156</t>
  </si>
  <si>
    <t>153</t>
  </si>
  <si>
    <t>3</t>
  </si>
  <si>
    <t>1</t>
  </si>
  <si>
    <t>2</t>
  </si>
  <si>
    <t>162</t>
  </si>
  <si>
    <t>135</t>
  </si>
  <si>
    <t>174</t>
  </si>
  <si>
    <t>173</t>
  </si>
  <si>
    <t>132</t>
  </si>
  <si>
    <t>103</t>
  </si>
  <si>
    <t>163</t>
  </si>
  <si>
    <t>220</t>
  </si>
  <si>
    <t>251</t>
  </si>
  <si>
    <t>203</t>
  </si>
  <si>
    <t>185</t>
  </si>
  <si>
    <t>206</t>
  </si>
  <si>
    <t>354</t>
  </si>
  <si>
    <t>379</t>
  </si>
  <si>
    <t>368</t>
  </si>
  <si>
    <t>433</t>
  </si>
  <si>
    <t>365</t>
  </si>
  <si>
    <t>367</t>
  </si>
  <si>
    <t>448</t>
  </si>
  <si>
    <t>450</t>
  </si>
  <si>
    <t>552</t>
  </si>
  <si>
    <t>451</t>
  </si>
  <si>
    <t>468</t>
  </si>
  <si>
    <t>461</t>
  </si>
  <si>
    <t>125</t>
  </si>
  <si>
    <t>110</t>
  </si>
  <si>
    <t>96</t>
  </si>
  <si>
    <t>121</t>
  </si>
  <si>
    <t>107</t>
  </si>
  <si>
    <t>102</t>
  </si>
  <si>
    <t>150</t>
  </si>
  <si>
    <t>161</t>
  </si>
  <si>
    <t>172</t>
  </si>
  <si>
    <t>131</t>
  </si>
  <si>
    <t>139</t>
  </si>
  <si>
    <t>167</t>
  </si>
  <si>
    <t>91</t>
  </si>
  <si>
    <t>60</t>
  </si>
  <si>
    <t>86</t>
  </si>
  <si>
    <t>99</t>
  </si>
  <si>
    <t>159</t>
  </si>
  <si>
    <t>165</t>
  </si>
  <si>
    <t>146</t>
  </si>
  <si>
    <t>116</t>
  </si>
  <si>
    <t>143</t>
  </si>
  <si>
    <t>28</t>
  </si>
  <si>
    <t>39</t>
  </si>
  <si>
    <t>34</t>
  </si>
  <si>
    <t>50</t>
  </si>
  <si>
    <t>45</t>
  </si>
  <si>
    <t>32</t>
  </si>
  <si>
    <t>36</t>
  </si>
  <si>
    <t>47</t>
  </si>
  <si>
    <t>62</t>
  </si>
  <si>
    <t>56</t>
  </si>
  <si>
    <t>598</t>
  </si>
  <si>
    <t>588</t>
  </si>
  <si>
    <t>584</t>
  </si>
  <si>
    <t>700</t>
  </si>
  <si>
    <t>813</t>
  </si>
  <si>
    <t>615</t>
  </si>
  <si>
    <t>600</t>
  </si>
  <si>
    <t>816</t>
  </si>
  <si>
    <t>826</t>
  </si>
  <si>
    <t>957</t>
  </si>
  <si>
    <t>951</t>
  </si>
  <si>
    <t>775</t>
  </si>
  <si>
    <t>773</t>
  </si>
  <si>
    <t>807</t>
  </si>
  <si>
    <t>8</t>
  </si>
  <si>
    <t>6</t>
  </si>
  <si>
    <t>0</t>
  </si>
  <si>
    <t>12</t>
  </si>
  <si>
    <t>15</t>
  </si>
  <si>
    <t>Engineering PM</t>
  </si>
  <si>
    <t>Engineering - Maintenance</t>
  </si>
  <si>
    <t>Custodial</t>
  </si>
  <si>
    <t>Trades</t>
  </si>
  <si>
    <t>Grounds</t>
  </si>
  <si>
    <t>&lt; 30 Days</t>
  </si>
  <si>
    <t>31-60 Days</t>
  </si>
  <si>
    <t>June 2012</t>
  </si>
  <si>
    <t>91-180 Days</t>
  </si>
  <si>
    <t>181-365 Days</t>
  </si>
  <si>
    <t xml:space="preserve">61-90 Days </t>
  </si>
  <si>
    <t>141</t>
  </si>
  <si>
    <t>386</t>
  </si>
  <si>
    <t>120</t>
  </si>
  <si>
    <t>Routine</t>
  </si>
  <si>
    <t>&gt;365 Days</t>
  </si>
  <si>
    <t>30-60 Days</t>
  </si>
  <si>
    <t xml:space="preserve">61- 90 Days </t>
  </si>
  <si>
    <t>522</t>
  </si>
  <si>
    <t>546</t>
  </si>
  <si>
    <t>16</t>
  </si>
  <si>
    <t>177</t>
  </si>
  <si>
    <t>164</t>
  </si>
  <si>
    <t>263</t>
  </si>
  <si>
    <t>256</t>
  </si>
  <si>
    <t>87</t>
  </si>
  <si>
    <t>90</t>
  </si>
  <si>
    <t>23</t>
  </si>
  <si>
    <t>295</t>
  </si>
  <si>
    <t>187</t>
  </si>
  <si>
    <t>312</t>
  </si>
  <si>
    <t>248</t>
  </si>
  <si>
    <t>92</t>
  </si>
  <si>
    <t>31</t>
  </si>
  <si>
    <t>151</t>
  </si>
  <si>
    <t>22</t>
  </si>
  <si>
    <t>17</t>
  </si>
  <si>
    <t>66</t>
  </si>
  <si>
    <t>101</t>
  </si>
  <si>
    <t>73</t>
  </si>
  <si>
    <t>88</t>
  </si>
  <si>
    <t>334</t>
  </si>
  <si>
    <t>Calculated the average- module didn't work month of July</t>
  </si>
  <si>
    <t>Sept</t>
  </si>
  <si>
    <t>184</t>
  </si>
  <si>
    <t>169</t>
  </si>
  <si>
    <t>258</t>
  </si>
  <si>
    <t>239</t>
  </si>
  <si>
    <t>79</t>
  </si>
  <si>
    <t>69</t>
  </si>
  <si>
    <t>819</t>
  </si>
  <si>
    <t>679</t>
  </si>
  <si>
    <t>40</t>
  </si>
  <si>
    <t>453</t>
  </si>
  <si>
    <t>402</t>
  </si>
  <si>
    <t>480</t>
  </si>
  <si>
    <t>358</t>
  </si>
  <si>
    <t>24</t>
  </si>
  <si>
    <t>112</t>
  </si>
  <si>
    <t>76</t>
  </si>
  <si>
    <t>85</t>
  </si>
  <si>
    <t>233</t>
  </si>
  <si>
    <t>7</t>
  </si>
  <si>
    <t>9</t>
  </si>
  <si>
    <t>198</t>
  </si>
  <si>
    <t>179</t>
  </si>
  <si>
    <t>21</t>
  </si>
  <si>
    <t>27</t>
  </si>
  <si>
    <t>152</t>
  </si>
  <si>
    <t>641</t>
  </si>
  <si>
    <t>687</t>
  </si>
  <si>
    <t>181</t>
  </si>
  <si>
    <t>329</t>
  </si>
  <si>
    <t>318</t>
  </si>
  <si>
    <t>160</t>
  </si>
  <si>
    <t>621</t>
  </si>
  <si>
    <t>956</t>
  </si>
  <si>
    <t>30</t>
  </si>
  <si>
    <t>122</t>
  </si>
  <si>
    <t>246</t>
  </si>
  <si>
    <t>328</t>
  </si>
  <si>
    <t>330</t>
  </si>
  <si>
    <t>231</t>
  </si>
  <si>
    <t>166</t>
  </si>
  <si>
    <t>33</t>
  </si>
  <si>
    <t>647</t>
  </si>
  <si>
    <t>671</t>
  </si>
  <si>
    <t>13</t>
  </si>
  <si>
    <t>221</t>
  </si>
  <si>
    <t>207</t>
  </si>
  <si>
    <t>339</t>
  </si>
  <si>
    <t>335</t>
  </si>
  <si>
    <t>97</t>
  </si>
  <si>
    <t>94</t>
  </si>
  <si>
    <t>307</t>
  </si>
  <si>
    <t>277</t>
  </si>
  <si>
    <t>234</t>
  </si>
  <si>
    <t>1081</t>
  </si>
  <si>
    <t>707</t>
  </si>
  <si>
    <t>55</t>
  </si>
  <si>
    <t>25</t>
  </si>
  <si>
    <t>532</t>
  </si>
  <si>
    <t xml:space="preserve"> </t>
  </si>
  <si>
    <t>611</t>
  </si>
  <si>
    <t>645</t>
  </si>
  <si>
    <t>323</t>
  </si>
  <si>
    <t>119</t>
  </si>
  <si>
    <t>210</t>
  </si>
  <si>
    <t>205</t>
  </si>
  <si>
    <t>19</t>
  </si>
  <si>
    <t>18</t>
  </si>
  <si>
    <t>190</t>
  </si>
  <si>
    <t>186</t>
  </si>
  <si>
    <t>923</t>
  </si>
  <si>
    <t>689</t>
  </si>
  <si>
    <t>48</t>
  </si>
  <si>
    <t>114</t>
  </si>
  <si>
    <t>208</t>
  </si>
  <si>
    <t>486</t>
  </si>
  <si>
    <t>395</t>
  </si>
  <si>
    <t>Average age (days)</t>
  </si>
  <si>
    <t>No of PFA's Closed</t>
  </si>
  <si>
    <t>157</t>
  </si>
  <si>
    <t>144</t>
  </si>
  <si>
    <t>Steam</t>
  </si>
  <si>
    <t>Water</t>
  </si>
  <si>
    <t xml:space="preserve">Electric </t>
  </si>
  <si>
    <t xml:space="preserve">Gas </t>
  </si>
  <si>
    <t>697</t>
  </si>
  <si>
    <t>505</t>
  </si>
  <si>
    <t>20</t>
  </si>
  <si>
    <t>83</t>
  </si>
  <si>
    <t>104</t>
  </si>
  <si>
    <t>366</t>
  </si>
  <si>
    <t>306</t>
  </si>
  <si>
    <t>NOTES:</t>
  </si>
  <si>
    <t>Jan 2013</t>
  </si>
  <si>
    <t>196</t>
  </si>
  <si>
    <t>191</t>
  </si>
  <si>
    <t>182</t>
  </si>
  <si>
    <t>850</t>
  </si>
  <si>
    <t>677</t>
  </si>
  <si>
    <t>67</t>
  </si>
  <si>
    <t>212</t>
  </si>
  <si>
    <t>188</t>
  </si>
  <si>
    <t>362</t>
  </si>
  <si>
    <t>302</t>
  </si>
  <si>
    <t>Scott Hall &amp; Pharmacy are now of Detroit Thermal Steam</t>
  </si>
  <si>
    <t>Business Services</t>
  </si>
  <si>
    <t>Plant Fund Closure Measurable (Petition to Close date -Plant Fund Closure date)</t>
  </si>
  <si>
    <t>D&amp;CS</t>
  </si>
  <si>
    <t>Petition to Close Measurable (Substantial Completion date-Petition to Close date)</t>
  </si>
  <si>
    <t>Whole Process</t>
  </si>
  <si>
    <t>Closure Measurable (Substantial Completion date-PFA Closure date)</t>
  </si>
  <si>
    <t xml:space="preserve">No of Petition to Close </t>
  </si>
  <si>
    <t>No of PFA Closed</t>
  </si>
  <si>
    <t>No of PFA's processed on time (&lt;30 days)</t>
  </si>
  <si>
    <t>Target</t>
  </si>
  <si>
    <t xml:space="preserve">Aug </t>
  </si>
  <si>
    <t xml:space="preserve">Oct </t>
  </si>
  <si>
    <t xml:space="preserve">Dec </t>
  </si>
  <si>
    <t>373</t>
  </si>
  <si>
    <t>347</t>
  </si>
  <si>
    <t>155</t>
  </si>
  <si>
    <t>93</t>
  </si>
  <si>
    <t xml:space="preserve">Nov </t>
  </si>
  <si>
    <t>201</t>
  </si>
  <si>
    <t>189</t>
  </si>
  <si>
    <t>918</t>
  </si>
  <si>
    <t>735</t>
  </si>
  <si>
    <t>459</t>
  </si>
  <si>
    <t>371</t>
  </si>
  <si>
    <t>Execution of Change order per month</t>
  </si>
  <si>
    <t>% in 45 days or less</t>
  </si>
  <si>
    <t xml:space="preserve">No of Change Orders </t>
  </si>
  <si>
    <t>No of Change Orders processed on time (&lt;45 days)</t>
  </si>
  <si>
    <t>Mar</t>
  </si>
  <si>
    <t>333</t>
  </si>
  <si>
    <t>423</t>
  </si>
  <si>
    <t>482</t>
  </si>
  <si>
    <t>134</t>
  </si>
  <si>
    <t>245</t>
  </si>
  <si>
    <t>218</t>
  </si>
  <si>
    <t>65</t>
  </si>
  <si>
    <t>250</t>
  </si>
  <si>
    <t>237</t>
  </si>
  <si>
    <t>238</t>
  </si>
  <si>
    <t>227</t>
  </si>
  <si>
    <t>931</t>
  </si>
  <si>
    <t>785</t>
  </si>
  <si>
    <t>460</t>
  </si>
  <si>
    <t>382</t>
  </si>
  <si>
    <t>INCLUDES Cohn, Law &amp; Engineering</t>
  </si>
  <si>
    <t>411</t>
  </si>
  <si>
    <t>446</t>
  </si>
  <si>
    <t>391</t>
  </si>
  <si>
    <t>127</t>
  </si>
  <si>
    <t>985</t>
  </si>
  <si>
    <t>818</t>
  </si>
  <si>
    <t>71</t>
  </si>
  <si>
    <t>176</t>
  </si>
  <si>
    <t>136</t>
  </si>
  <si>
    <t>540</t>
  </si>
  <si>
    <t>443</t>
  </si>
  <si>
    <t>475</t>
  </si>
  <si>
    <t>442</t>
  </si>
  <si>
    <t>95</t>
  </si>
  <si>
    <t>81</t>
  </si>
  <si>
    <t>242</t>
  </si>
  <si>
    <t>129</t>
  </si>
  <si>
    <t>911</t>
  </si>
  <si>
    <t>804</t>
  </si>
  <si>
    <t>59</t>
  </si>
  <si>
    <t>493</t>
  </si>
  <si>
    <t>447</t>
  </si>
  <si>
    <t>195</t>
  </si>
  <si>
    <t>342</t>
  </si>
  <si>
    <t>305</t>
  </si>
  <si>
    <t>64</t>
  </si>
  <si>
    <t>54</t>
  </si>
  <si>
    <t>140</t>
  </si>
  <si>
    <t>109</t>
  </si>
  <si>
    <t>37</t>
  </si>
  <si>
    <t>35</t>
  </si>
  <si>
    <t>835</t>
  </si>
  <si>
    <t>730</t>
  </si>
  <si>
    <t>124</t>
  </si>
  <si>
    <t>498</t>
  </si>
  <si>
    <t>436</t>
  </si>
  <si>
    <t>232</t>
  </si>
  <si>
    <t>211</t>
  </si>
  <si>
    <t>942</t>
  </si>
  <si>
    <t>801</t>
  </si>
  <si>
    <t>68</t>
  </si>
  <si>
    <t>437</t>
  </si>
  <si>
    <t>266</t>
  </si>
  <si>
    <t>255</t>
  </si>
  <si>
    <t>922</t>
  </si>
  <si>
    <t>784</t>
  </si>
  <si>
    <t>52</t>
  </si>
  <si>
    <t>158</t>
  </si>
  <si>
    <t>484</t>
  </si>
  <si>
    <t>Aug</t>
  </si>
  <si>
    <t>200</t>
  </si>
  <si>
    <t>192</t>
  </si>
  <si>
    <t>839</t>
  </si>
  <si>
    <t>727</t>
  </si>
  <si>
    <t>194</t>
  </si>
  <si>
    <t>296</t>
  </si>
  <si>
    <t>287</t>
  </si>
  <si>
    <t>943</t>
  </si>
  <si>
    <t>80</t>
  </si>
  <si>
    <t>430</t>
  </si>
  <si>
    <t>376</t>
  </si>
  <si>
    <t>FY2014</t>
  </si>
  <si>
    <t>Accruals for FY13</t>
  </si>
  <si>
    <t>229</t>
  </si>
  <si>
    <t>226</t>
  </si>
  <si>
    <t>225</t>
  </si>
  <si>
    <t>848</t>
  </si>
  <si>
    <t>711</t>
  </si>
  <si>
    <t>84</t>
  </si>
  <si>
    <t>137</t>
  </si>
  <si>
    <t>385</t>
  </si>
  <si>
    <t>344</t>
  </si>
  <si>
    <t>895</t>
  </si>
  <si>
    <t>409</t>
  </si>
  <si>
    <t>341</t>
  </si>
  <si>
    <t>% in 150 days or less</t>
  </si>
  <si>
    <t>No of Projects processed on time (&lt;150 days)</t>
  </si>
  <si>
    <t>% in 180 days or less</t>
  </si>
  <si>
    <t>No of Projects processed on time (&lt;180 days)</t>
  </si>
  <si>
    <t>857</t>
  </si>
  <si>
    <t>317</t>
  </si>
  <si>
    <t>260</t>
  </si>
  <si>
    <t>Jan 2014</t>
  </si>
  <si>
    <t>216</t>
  </si>
  <si>
    <t>202</t>
  </si>
  <si>
    <t>847</t>
  </si>
  <si>
    <t>666</t>
  </si>
  <si>
    <t>215</t>
  </si>
  <si>
    <t>319</t>
  </si>
  <si>
    <t xml:space="preserve">Average Project Survey Scores </t>
  </si>
  <si>
    <t>% complete on time (estimates, planning)</t>
  </si>
  <si>
    <t>Planning and Estimating</t>
  </si>
  <si>
    <t>230</t>
  </si>
  <si>
    <t>219</t>
  </si>
  <si>
    <t>1039</t>
  </si>
  <si>
    <t>823</t>
  </si>
  <si>
    <t>72</t>
  </si>
  <si>
    <t>473</t>
  </si>
  <si>
    <t>149</t>
  </si>
  <si>
    <t>1017</t>
  </si>
  <si>
    <t>82</t>
  </si>
  <si>
    <t>259</t>
  </si>
  <si>
    <t>497</t>
  </si>
  <si>
    <t>408</t>
  </si>
  <si>
    <t>257</t>
  </si>
  <si>
    <t>252</t>
  </si>
  <si>
    <t>1012</t>
  </si>
  <si>
    <t>792</t>
  </si>
  <si>
    <t>244</t>
  </si>
  <si>
    <t>501</t>
  </si>
  <si>
    <t>418</t>
  </si>
  <si>
    <t>199</t>
  </si>
  <si>
    <t>963</t>
  </si>
  <si>
    <t>791</t>
  </si>
  <si>
    <t>527</t>
  </si>
  <si>
    <t>471</t>
  </si>
  <si>
    <t>236</t>
  </si>
  <si>
    <t>799</t>
  </si>
  <si>
    <t>664</t>
  </si>
  <si>
    <t>70</t>
  </si>
  <si>
    <t>431</t>
  </si>
  <si>
    <t>Curb Appeal III Project % complete per week</t>
  </si>
  <si>
    <t>Curb Appeal IV Project % complete per week</t>
  </si>
  <si>
    <t>794</t>
  </si>
  <si>
    <t>541</t>
  </si>
  <si>
    <t>Work Not Done</t>
  </si>
  <si>
    <t xml:space="preserve">July PLD Bldgs are now on DTE, </t>
  </si>
  <si>
    <t>MichCon estimated for August &amp; September</t>
  </si>
  <si>
    <t>All Utilities estimated for September</t>
  </si>
  <si>
    <t>DWSD estimated for August &amp; September</t>
  </si>
  <si>
    <t>974</t>
  </si>
  <si>
    <t>830</t>
  </si>
  <si>
    <t>51</t>
  </si>
  <si>
    <t>42</t>
  </si>
  <si>
    <t>517</t>
  </si>
  <si>
    <t>464</t>
  </si>
  <si>
    <t>1139</t>
  </si>
  <si>
    <t>887</t>
  </si>
  <si>
    <t>573</t>
  </si>
  <si>
    <t>489</t>
  </si>
  <si>
    <t>243</t>
  </si>
  <si>
    <t xml:space="preserve">Incoming Requests </t>
  </si>
  <si>
    <t>Outgoing Requests</t>
  </si>
  <si>
    <t>FY2015</t>
  </si>
  <si>
    <t>Accruals for FY14</t>
  </si>
  <si>
    <t>Budget as Loaded</t>
  </si>
  <si>
    <t>FY15</t>
  </si>
  <si>
    <t>Budget per L. Fodor</t>
  </si>
  <si>
    <t xml:space="preserve"> PLD Bldgs are now on DTE, </t>
  </si>
  <si>
    <t>617</t>
  </si>
  <si>
    <t>332</t>
  </si>
  <si>
    <t>Finished</t>
  </si>
  <si>
    <t>Backlog Goal</t>
  </si>
  <si>
    <t>Total Backlog</t>
  </si>
  <si>
    <t xml:space="preserve">  Backlog &gt; 30 Days Old</t>
  </si>
  <si>
    <t>Created</t>
  </si>
  <si>
    <t>*</t>
  </si>
  <si>
    <t>Adjusted by Budget Office not as submitted by L. Fodor</t>
  </si>
  <si>
    <t>180</t>
  </si>
  <si>
    <t>5-Week Moving Average Created</t>
  </si>
  <si>
    <t>5-Week Moving Average Finished</t>
  </si>
  <si>
    <t>183</t>
  </si>
  <si>
    <t>324</t>
  </si>
  <si>
    <t>MichCon estimated for  August &amp; September</t>
  </si>
  <si>
    <t>FY2016</t>
  </si>
  <si>
    <t>FY16</t>
  </si>
  <si>
    <t>Accruals for FY16</t>
  </si>
  <si>
    <t xml:space="preserve">FY 2016 Utility Budget </t>
  </si>
  <si>
    <t>126</t>
  </si>
  <si>
    <t>Without Housing</t>
  </si>
  <si>
    <t>193</t>
  </si>
  <si>
    <t>197</t>
  </si>
  <si>
    <t>Held for Funds</t>
  </si>
  <si>
    <t>Hold for Funds</t>
  </si>
  <si>
    <t xml:space="preserve">Hold for Funds </t>
  </si>
  <si>
    <t>INCLUDES Cohn, Law, Engineering, Tierney, &amp; I-Bio</t>
  </si>
  <si>
    <t>204</t>
  </si>
  <si>
    <t>Natural Gas  estimated for  June, July, &amp; August</t>
  </si>
  <si>
    <t>Electricity  estimated for July &amp; august</t>
  </si>
  <si>
    <t>DWSD estimated   June , July &amp; August</t>
  </si>
  <si>
    <t>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</si>
</sst>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m/d/yy;@"/>
    <numFmt numFmtId="166" formatCode="#,##0;[Red]#,##0"/>
    <numFmt numFmtId="167" formatCode="_(&quot;$&quot;* #,##0_);_(&quot;$&quot;* \(#,##0\);_(&quot;$&quot;* &quot;-&quot;??_);_(@_)"/>
    <numFmt numFmtId="168" formatCode="[$-409]mmm\-yy;@"/>
    <numFmt numFmtId="169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sz val="12"/>
      <color rgb="FFFF0000"/>
      <name val="Calibri"/>
      <family val="2"/>
    </font>
    <font>
      <b/>
      <sz val="12"/>
      <color theme="1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4"/>
      <color rgb="FFFF0000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66FF6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8" borderId="0" applyNumberFormat="0" applyBorder="0" applyAlignment="0" applyProtection="0"/>
    <xf numFmtId="0" fontId="11" fillId="9" borderId="0" applyNumberFormat="0" applyBorder="0" applyAlignment="0" applyProtection="0"/>
    <xf numFmtId="0" fontId="12" fillId="10" borderId="0" applyNumberFormat="0" applyBorder="0" applyAlignment="0" applyProtection="0"/>
  </cellStyleXfs>
  <cellXfs count="256">
    <xf numFmtId="0" fontId="0" fillId="0" borderId="0" xfId="0"/>
    <xf numFmtId="17" fontId="0" fillId="0" borderId="0" xfId="0" applyNumberFormat="1"/>
    <xf numFmtId="0" fontId="0" fillId="0" borderId="0" xfId="0" applyFont="1"/>
    <xf numFmtId="0" fontId="2" fillId="0" borderId="0" xfId="0" applyFont="1"/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horizontal="center"/>
    </xf>
    <xf numFmtId="9" fontId="0" fillId="0" borderId="0" xfId="1" applyFont="1" applyAlignment="1">
      <alignment horizontal="center"/>
    </xf>
    <xf numFmtId="38" fontId="0" fillId="0" borderId="0" xfId="1" applyNumberFormat="1" applyFont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17" fontId="0" fillId="0" borderId="0" xfId="0" applyNumberFormat="1" applyFont="1"/>
    <xf numFmtId="17" fontId="0" fillId="0" borderId="0" xfId="0" applyNumberFormat="1" applyFont="1" applyAlignment="1">
      <alignment horizontal="center"/>
    </xf>
    <xf numFmtId="17" fontId="0" fillId="0" borderId="0" xfId="0" quotePrefix="1" applyNumberFormat="1" applyFont="1"/>
    <xf numFmtId="17" fontId="0" fillId="0" borderId="0" xfId="0" quotePrefix="1" applyNumberFormat="1" applyFont="1" applyAlignment="1">
      <alignment horizontal="center"/>
    </xf>
    <xf numFmtId="38" fontId="0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9" fontId="0" fillId="0" borderId="0" xfId="1" applyFont="1" applyAlignment="1">
      <alignment horizontal="left"/>
    </xf>
    <xf numFmtId="10" fontId="0" fillId="0" borderId="0" xfId="1" applyNumberFormat="1" applyFont="1" applyAlignment="1">
      <alignment horizontal="left"/>
    </xf>
    <xf numFmtId="38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Fill="1" applyBorder="1"/>
    <xf numFmtId="17" fontId="3" fillId="0" borderId="0" xfId="0" applyNumberFormat="1" applyFont="1" applyFill="1" applyBorder="1"/>
    <xf numFmtId="9" fontId="3" fillId="0" borderId="0" xfId="0" applyNumberFormat="1" applyFont="1" applyFill="1" applyBorder="1"/>
    <xf numFmtId="9" fontId="3" fillId="0" borderId="0" xfId="1" applyFont="1" applyFill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0" xfId="0" applyFont="1" applyFill="1" applyBorder="1" applyAlignment="1">
      <alignment wrapText="1"/>
    </xf>
    <xf numFmtId="166" fontId="3" fillId="0" borderId="0" xfId="1" applyNumberFormat="1" applyFont="1" applyFill="1" applyBorder="1"/>
    <xf numFmtId="166" fontId="3" fillId="0" borderId="0" xfId="0" applyNumberFormat="1" applyFont="1" applyFill="1" applyBorder="1"/>
    <xf numFmtId="1" fontId="0" fillId="0" borderId="0" xfId="0" applyNumberFormat="1"/>
    <xf numFmtId="0" fontId="0" fillId="0" borderId="0" xfId="1" applyNumberFormat="1" applyFont="1" applyAlignment="1">
      <alignment horizontal="left"/>
    </xf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38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8" fontId="0" fillId="0" borderId="0" xfId="1" applyNumberFormat="1" applyFont="1" applyAlignment="1">
      <alignment horizontal="left"/>
    </xf>
    <xf numFmtId="38" fontId="0" fillId="0" borderId="0" xfId="0" applyNumberFormat="1" applyAlignment="1">
      <alignment horizontal="left"/>
    </xf>
    <xf numFmtId="1" fontId="3" fillId="0" borderId="0" xfId="0" applyNumberFormat="1" applyFont="1" applyFill="1" applyBorder="1"/>
    <xf numFmtId="9" fontId="3" fillId="0" borderId="0" xfId="1" applyNumberFormat="1" applyFont="1" applyFill="1" applyBorder="1"/>
    <xf numFmtId="1" fontId="3" fillId="0" borderId="0" xfId="1" applyNumberFormat="1" applyFont="1" applyFill="1" applyBorder="1"/>
    <xf numFmtId="49" fontId="0" fillId="0" borderId="0" xfId="1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0" xfId="0" applyNumberFormat="1"/>
    <xf numFmtId="49" fontId="0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38" fontId="0" fillId="0" borderId="0" xfId="1" applyNumberFormat="1" applyFont="1" applyAlignment="1"/>
    <xf numFmtId="0" fontId="0" fillId="0" borderId="0" xfId="0" applyAlignment="1"/>
    <xf numFmtId="0" fontId="0" fillId="0" borderId="0" xfId="1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Border="1" applyAlignment="1">
      <alignment horizontal="left"/>
    </xf>
    <xf numFmtId="0" fontId="5" fillId="2" borderId="0" xfId="1" applyNumberFormat="1" applyFont="1" applyFill="1" applyBorder="1" applyAlignment="1">
      <alignment horizontal="left"/>
    </xf>
    <xf numFmtId="0" fontId="0" fillId="0" borderId="0" xfId="0" applyNumberFormat="1" applyBorder="1" applyAlignment="1">
      <alignment horizontal="left"/>
    </xf>
    <xf numFmtId="0" fontId="0" fillId="0" borderId="0" xfId="0" applyBorder="1"/>
    <xf numFmtId="0" fontId="5" fillId="2" borderId="0" xfId="0" applyFont="1" applyFill="1" applyBorder="1"/>
    <xf numFmtId="38" fontId="0" fillId="0" borderId="0" xfId="1" applyNumberFormat="1" applyFont="1" applyBorder="1" applyAlignment="1">
      <alignment horizontal="left"/>
    </xf>
    <xf numFmtId="0" fontId="0" fillId="0" borderId="0" xfId="1" applyNumberFormat="1" applyFont="1" applyBorder="1" applyAlignment="1">
      <alignment horizontal="left"/>
    </xf>
    <xf numFmtId="38" fontId="0" fillId="0" borderId="0" xfId="0" applyNumberFormat="1" applyBorder="1" applyAlignment="1">
      <alignment horizontal="left"/>
    </xf>
    <xf numFmtId="49" fontId="0" fillId="0" borderId="0" xfId="1" applyNumberFormat="1" applyFont="1" applyBorder="1" applyAlignment="1">
      <alignment horizontal="center"/>
    </xf>
    <xf numFmtId="0" fontId="0" fillId="0" borderId="0" xfId="0" applyFont="1" applyAlignment="1">
      <alignment horizontal="left"/>
    </xf>
    <xf numFmtId="38" fontId="0" fillId="0" borderId="0" xfId="0" applyNumberFormat="1" applyFont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/>
    <xf numFmtId="164" fontId="6" fillId="0" borderId="0" xfId="0" applyNumberFormat="1" applyFont="1"/>
    <xf numFmtId="164" fontId="6" fillId="0" borderId="1" xfId="0" applyNumberFormat="1" applyFont="1" applyBorder="1"/>
    <xf numFmtId="0" fontId="6" fillId="0" borderId="0" xfId="0" applyFont="1" applyBorder="1"/>
    <xf numFmtId="0" fontId="6" fillId="0" borderId="1" xfId="0" applyFont="1" applyBorder="1"/>
    <xf numFmtId="164" fontId="6" fillId="0" borderId="0" xfId="3" applyNumberFormat="1" applyFont="1" applyBorder="1"/>
    <xf numFmtId="164" fontId="6" fillId="0" borderId="0" xfId="3" applyNumberFormat="1" applyFont="1"/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 wrapText="1"/>
    </xf>
    <xf numFmtId="0" fontId="7" fillId="4" borderId="2" xfId="0" applyFont="1" applyFill="1" applyBorder="1"/>
    <xf numFmtId="1" fontId="0" fillId="0" borderId="0" xfId="0" applyNumberFormat="1" applyFont="1" applyAlignment="1">
      <alignment horizontal="center" wrapText="1"/>
    </xf>
    <xf numFmtId="1" fontId="0" fillId="0" borderId="0" xfId="1" applyNumberFormat="1" applyFont="1" applyAlignment="1">
      <alignment horizontal="center"/>
    </xf>
    <xf numFmtId="2" fontId="0" fillId="0" borderId="0" xfId="0" applyNumberFormat="1"/>
    <xf numFmtId="0" fontId="6" fillId="0" borderId="0" xfId="0" quotePrefix="1" applyFont="1"/>
    <xf numFmtId="2" fontId="0" fillId="0" borderId="0" xfId="0" applyNumberFormat="1" applyAlignment="1">
      <alignment horizontal="center"/>
    </xf>
    <xf numFmtId="38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NumberFormat="1" applyFill="1" applyBorder="1" applyAlignment="1">
      <alignment horizontal="left"/>
    </xf>
    <xf numFmtId="0" fontId="0" fillId="0" borderId="0" xfId="0" applyFill="1"/>
    <xf numFmtId="0" fontId="0" fillId="0" borderId="0" xfId="0" applyAlignment="1">
      <alignment horizontal="right"/>
    </xf>
    <xf numFmtId="38" fontId="0" fillId="0" borderId="0" xfId="1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left"/>
    </xf>
    <xf numFmtId="164" fontId="6" fillId="6" borderId="0" xfId="0" applyNumberFormat="1" applyFont="1" applyFill="1"/>
    <xf numFmtId="0" fontId="6" fillId="0" borderId="0" xfId="0" applyFont="1" applyFill="1" applyBorder="1" applyAlignment="1">
      <alignment horizontal="center"/>
    </xf>
    <xf numFmtId="164" fontId="6" fillId="0" borderId="6" xfId="3" applyNumberFormat="1" applyFont="1" applyBorder="1"/>
    <xf numFmtId="164" fontId="6" fillId="0" borderId="7" xfId="3" applyNumberFormat="1" applyFont="1" applyBorder="1"/>
    <xf numFmtId="164" fontId="6" fillId="0" borderId="8" xfId="3" applyNumberFormat="1" applyFont="1" applyBorder="1"/>
    <xf numFmtId="164" fontId="6" fillId="0" borderId="9" xfId="3" applyNumberFormat="1" applyFont="1" applyBorder="1"/>
    <xf numFmtId="164" fontId="6" fillId="0" borderId="10" xfId="3" applyNumberFormat="1" applyFont="1" applyBorder="1"/>
    <xf numFmtId="164" fontId="6" fillId="0" borderId="11" xfId="3" applyNumberFormat="1" applyFont="1" applyBorder="1"/>
    <xf numFmtId="164" fontId="6" fillId="0" borderId="10" xfId="3" applyNumberFormat="1" applyFont="1" applyFill="1" applyBorder="1"/>
    <xf numFmtId="9" fontId="0" fillId="0" borderId="0" xfId="1" applyNumberFormat="1" applyFont="1" applyAlignment="1">
      <alignment horizontal="center"/>
    </xf>
    <xf numFmtId="0" fontId="9" fillId="0" borderId="0" xfId="0" applyFont="1" applyFill="1" applyBorder="1"/>
    <xf numFmtId="0" fontId="6" fillId="0" borderId="0" xfId="0" applyFont="1" applyFill="1"/>
    <xf numFmtId="0" fontId="0" fillId="0" borderId="0" xfId="0" applyNumberFormat="1" applyFont="1" applyAlignment="1">
      <alignment horizontal="center"/>
    </xf>
    <xf numFmtId="0" fontId="0" fillId="5" borderId="0" xfId="0" applyFill="1"/>
    <xf numFmtId="9" fontId="0" fillId="0" borderId="0" xfId="1" applyFont="1"/>
    <xf numFmtId="0" fontId="2" fillId="0" borderId="0" xfId="0" applyFont="1" applyAlignment="1">
      <alignment horizontal="left"/>
    </xf>
    <xf numFmtId="0" fontId="6" fillId="0" borderId="0" xfId="0" applyFont="1" applyFill="1" applyBorder="1"/>
    <xf numFmtId="0" fontId="9" fillId="0" borderId="0" xfId="0" applyFont="1"/>
    <xf numFmtId="6" fontId="8" fillId="0" borderId="0" xfId="2" applyNumberFormat="1" applyFont="1"/>
    <xf numFmtId="6" fontId="0" fillId="0" borderId="0" xfId="0" applyNumberFormat="1"/>
    <xf numFmtId="0" fontId="2" fillId="7" borderId="12" xfId="0" applyFont="1" applyFill="1" applyBorder="1"/>
    <xf numFmtId="0" fontId="2" fillId="7" borderId="13" xfId="0" applyFont="1" applyFill="1" applyBorder="1"/>
    <xf numFmtId="0" fontId="2" fillId="7" borderId="14" xfId="0" applyFont="1" applyFill="1" applyBorder="1"/>
    <xf numFmtId="0" fontId="2" fillId="7" borderId="0" xfId="0" applyFont="1" applyFill="1" applyBorder="1"/>
    <xf numFmtId="0" fontId="2" fillId="7" borderId="15" xfId="0" applyFont="1" applyFill="1" applyBorder="1"/>
    <xf numFmtId="0" fontId="2" fillId="7" borderId="16" xfId="0" applyFont="1" applyFill="1" applyBorder="1"/>
    <xf numFmtId="0" fontId="2" fillId="7" borderId="18" xfId="0" applyFont="1" applyFill="1" applyBorder="1"/>
    <xf numFmtId="0" fontId="3" fillId="5" borderId="0" xfId="0" applyFont="1" applyFill="1" applyBorder="1" applyAlignment="1">
      <alignment wrapText="1"/>
    </xf>
    <xf numFmtId="0" fontId="0" fillId="0" borderId="0" xfId="0" applyNumberFormat="1" applyAlignment="1">
      <alignment horizontal="right"/>
    </xf>
    <xf numFmtId="0" fontId="2" fillId="3" borderId="0" xfId="0" applyFont="1" applyFill="1" applyBorder="1"/>
    <xf numFmtId="0" fontId="0" fillId="0" borderId="0" xfId="0" applyBorder="1" applyAlignment="1">
      <alignment horizontal="center" wrapText="1"/>
    </xf>
    <xf numFmtId="0" fontId="13" fillId="0" borderId="0" xfId="0" applyFont="1" applyFill="1" applyBorder="1"/>
    <xf numFmtId="0" fontId="14" fillId="0" borderId="0" xfId="0" applyFont="1" applyFill="1" applyBorder="1"/>
    <xf numFmtId="164" fontId="6" fillId="3" borderId="8" xfId="3" applyNumberFormat="1" applyFont="1" applyFill="1" applyBorder="1"/>
    <xf numFmtId="38" fontId="0" fillId="0" borderId="0" xfId="1" applyNumberFormat="1" applyFont="1" applyFill="1" applyBorder="1" applyAlignment="1">
      <alignment horizontal="center"/>
    </xf>
    <xf numFmtId="0" fontId="10" fillId="8" borderId="0" xfId="4"/>
    <xf numFmtId="0" fontId="12" fillId="10" borderId="0" xfId="6"/>
    <xf numFmtId="0" fontId="11" fillId="9" borderId="0" xfId="5"/>
    <xf numFmtId="0" fontId="10" fillId="0" borderId="0" xfId="4" applyFill="1" applyBorder="1"/>
    <xf numFmtId="0" fontId="12" fillId="0" borderId="0" xfId="6" applyFill="1" applyBorder="1"/>
    <xf numFmtId="0" fontId="11" fillId="0" borderId="0" xfId="5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9" fontId="0" fillId="0" borderId="0" xfId="1" applyNumberFormat="1" applyFont="1" applyAlignment="1">
      <alignment horizontal="left" indent="1"/>
    </xf>
    <xf numFmtId="2" fontId="0" fillId="0" borderId="0" xfId="0" applyNumberFormat="1" applyFont="1" applyAlignment="1">
      <alignment horizontal="center"/>
    </xf>
    <xf numFmtId="167" fontId="6" fillId="0" borderId="0" xfId="3" applyNumberFormat="1" applyFont="1"/>
    <xf numFmtId="167" fontId="15" fillId="0" borderId="0" xfId="3" applyNumberFormat="1" applyFont="1"/>
    <xf numFmtId="42" fontId="2" fillId="0" borderId="0" xfId="2" applyNumberFormat="1" applyFont="1"/>
    <xf numFmtId="164" fontId="6" fillId="0" borderId="8" xfId="3" applyNumberFormat="1" applyFont="1" applyFill="1" applyBorder="1"/>
    <xf numFmtId="164" fontId="9" fillId="6" borderId="0" xfId="0" applyNumberFormat="1" applyFont="1" applyFill="1"/>
    <xf numFmtId="0" fontId="6" fillId="6" borderId="0" xfId="0" applyFont="1" applyFill="1"/>
    <xf numFmtId="0" fontId="3" fillId="0" borderId="0" xfId="0" applyFont="1" applyFill="1" applyBorder="1"/>
    <xf numFmtId="9" fontId="3" fillId="0" borderId="0" xfId="0" applyNumberFormat="1" applyFont="1" applyFill="1" applyBorder="1"/>
    <xf numFmtId="9" fontId="3" fillId="0" borderId="0" xfId="1" applyFont="1" applyFill="1" applyBorder="1"/>
    <xf numFmtId="0" fontId="0" fillId="0" borderId="0" xfId="0" applyBorder="1" applyAlignment="1"/>
    <xf numFmtId="0" fontId="0" fillId="5" borderId="0" xfId="0" applyFill="1" applyAlignment="1">
      <alignment horizontal="left"/>
    </xf>
    <xf numFmtId="164" fontId="6" fillId="3" borderId="10" xfId="3" applyNumberFormat="1" applyFont="1" applyFill="1" applyBorder="1"/>
    <xf numFmtId="0" fontId="0" fillId="5" borderId="0" xfId="0" applyFill="1" applyBorder="1" applyAlignment="1">
      <alignment horizontal="left"/>
    </xf>
    <xf numFmtId="0" fontId="0" fillId="5" borderId="0" xfId="0" applyNumberFormat="1" applyFill="1" applyBorder="1" applyAlignment="1">
      <alignment horizontal="left"/>
    </xf>
    <xf numFmtId="0" fontId="1" fillId="5" borderId="0" xfId="6" applyFont="1" applyFill="1" applyBorder="1" applyAlignment="1">
      <alignment horizontal="left"/>
    </xf>
    <xf numFmtId="0" fontId="1" fillId="5" borderId="0" xfId="4" applyFont="1" applyFill="1" applyBorder="1" applyAlignment="1">
      <alignment horizontal="left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16" fillId="0" borderId="0" xfId="0" applyNumberFormat="1" applyFont="1" applyAlignment="1">
      <alignment horizontal="center" wrapText="1"/>
    </xf>
    <xf numFmtId="0" fontId="16" fillId="0" borderId="0" xfId="0" applyFont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2" fillId="11" borderId="6" xfId="0" applyFont="1" applyFill="1" applyBorder="1"/>
    <xf numFmtId="6" fontId="2" fillId="11" borderId="19" xfId="0" applyNumberFormat="1" applyFont="1" applyFill="1" applyBorder="1"/>
    <xf numFmtId="0" fontId="2" fillId="11" borderId="19" xfId="0" applyFont="1" applyFill="1" applyBorder="1"/>
    <xf numFmtId="0" fontId="2" fillId="11" borderId="7" xfId="0" applyFont="1" applyFill="1" applyBorder="1"/>
    <xf numFmtId="0" fontId="2" fillId="11" borderId="10" xfId="0" applyFont="1" applyFill="1" applyBorder="1"/>
    <xf numFmtId="0" fontId="2" fillId="11" borderId="1" xfId="0" applyFont="1" applyFill="1" applyBorder="1"/>
    <xf numFmtId="0" fontId="2" fillId="11" borderId="11" xfId="0" applyFont="1" applyFill="1" applyBorder="1"/>
    <xf numFmtId="9" fontId="0" fillId="0" borderId="0" xfId="0" applyNumberFormat="1" applyAlignment="1">
      <alignment horizontal="center"/>
    </xf>
    <xf numFmtId="164" fontId="16" fillId="0" borderId="0" xfId="0" applyNumberFormat="1" applyFont="1"/>
    <xf numFmtId="49" fontId="0" fillId="0" borderId="0" xfId="0" applyNumberFormat="1" applyFont="1" applyAlignment="1">
      <alignment horizontal="center"/>
    </xf>
    <xf numFmtId="9" fontId="0" fillId="0" borderId="0" xfId="1" applyNumberFormat="1" applyFont="1"/>
    <xf numFmtId="49" fontId="0" fillId="0" borderId="0" xfId="0" applyNumberFormat="1" applyFont="1" applyAlignment="1">
      <alignment horizontal="center"/>
    </xf>
    <xf numFmtId="17" fontId="3" fillId="5" borderId="0" xfId="0" applyNumberFormat="1" applyFont="1" applyFill="1" applyBorder="1"/>
    <xf numFmtId="49" fontId="0" fillId="0" borderId="0" xfId="0" applyNumberFormat="1" applyFont="1" applyAlignment="1">
      <alignment horizontal="center"/>
    </xf>
    <xf numFmtId="0" fontId="0" fillId="0" borderId="0" xfId="0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0" fontId="2" fillId="3" borderId="17" xfId="0" applyFont="1" applyFill="1" applyBorder="1"/>
    <xf numFmtId="0" fontId="0" fillId="3" borderId="0" xfId="0" applyFill="1"/>
    <xf numFmtId="0" fontId="2" fillId="3" borderId="0" xfId="0" applyFont="1" applyFill="1"/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5" borderId="0" xfId="0" applyFill="1" applyAlignment="1">
      <alignment horizontal="left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horizontal="center" vertical="center"/>
    </xf>
    <xf numFmtId="168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/>
    </xf>
    <xf numFmtId="0" fontId="6" fillId="11" borderId="5" xfId="0" applyFont="1" applyFill="1" applyBorder="1" applyAlignment="1">
      <alignment horizontal="center"/>
    </xf>
    <xf numFmtId="0" fontId="6" fillId="11" borderId="3" xfId="0" applyFont="1" applyFill="1" applyBorder="1" applyAlignment="1">
      <alignment horizontal="center"/>
    </xf>
    <xf numFmtId="0" fontId="6" fillId="11" borderId="2" xfId="0" applyFont="1" applyFill="1" applyBorder="1" applyAlignment="1">
      <alignment horizontal="center"/>
    </xf>
    <xf numFmtId="169" fontId="0" fillId="0" borderId="0" xfId="1" applyNumberFormat="1" applyFont="1" applyAlignment="1">
      <alignment horizontal="center"/>
    </xf>
    <xf numFmtId="169" fontId="0" fillId="0" borderId="1" xfId="1" applyNumberFormat="1" applyFont="1" applyBorder="1" applyAlignment="1">
      <alignment horizontal="center"/>
    </xf>
    <xf numFmtId="0" fontId="2" fillId="11" borderId="0" xfId="0" applyFont="1" applyFill="1" applyBorder="1"/>
    <xf numFmtId="0" fontId="2" fillId="11" borderId="0" xfId="0" applyFont="1" applyFill="1"/>
    <xf numFmtId="0" fontId="0" fillId="11" borderId="0" xfId="0" applyFill="1"/>
    <xf numFmtId="0" fontId="2" fillId="11" borderId="17" xfId="0" applyFont="1" applyFill="1" applyBorder="1"/>
    <xf numFmtId="10" fontId="0" fillId="0" borderId="0" xfId="0" applyNumberFormat="1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0" fillId="0" borderId="0" xfId="0" applyFont="1" applyAlignment="1">
      <alignment horizontal="right"/>
    </xf>
    <xf numFmtId="9" fontId="0" fillId="0" borderId="0" xfId="0" applyNumberFormat="1" applyAlignment="1">
      <alignment horizontal="left"/>
    </xf>
    <xf numFmtId="9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left"/>
    </xf>
    <xf numFmtId="1" fontId="0" fillId="0" borderId="0" xfId="0" applyNumberFormat="1" applyFont="1" applyAlignment="1">
      <alignment horizontal="left"/>
    </xf>
    <xf numFmtId="17" fontId="0" fillId="0" borderId="0" xfId="0" applyNumberFormat="1" applyFill="1"/>
    <xf numFmtId="0" fontId="0" fillId="0" borderId="0" xfId="0" applyFont="1" applyFill="1"/>
    <xf numFmtId="0" fontId="0" fillId="0" borderId="0" xfId="0" applyFont="1" applyFill="1" applyAlignment="1">
      <alignment horizontal="right"/>
    </xf>
    <xf numFmtId="1" fontId="0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horizontal="left"/>
    </xf>
    <xf numFmtId="9" fontId="0" fillId="0" borderId="0" xfId="1" applyFont="1" applyFill="1" applyAlignment="1">
      <alignment horizontal="left"/>
    </xf>
    <xf numFmtId="0" fontId="6" fillId="0" borderId="0" xfId="0" applyFont="1" applyAlignment="1">
      <alignment horizontal="right"/>
    </xf>
    <xf numFmtId="164" fontId="17" fillId="0" borderId="0" xfId="0" applyNumberFormat="1" applyFont="1"/>
    <xf numFmtId="1" fontId="0" fillId="0" borderId="0" xfId="0" applyNumberFormat="1" applyAlignment="1">
      <alignment wrapText="1"/>
    </xf>
    <xf numFmtId="42" fontId="1" fillId="0" borderId="0" xfId="2" applyNumberFormat="1" applyFont="1"/>
    <xf numFmtId="164" fontId="0" fillId="0" borderId="0" xfId="0" applyNumberFormat="1"/>
    <xf numFmtId="164" fontId="3" fillId="0" borderId="0" xfId="3" applyNumberFormat="1" applyFont="1"/>
    <xf numFmtId="164" fontId="3" fillId="0" borderId="6" xfId="3" applyNumberFormat="1" applyFont="1" applyBorder="1"/>
    <xf numFmtId="164" fontId="3" fillId="0" borderId="0" xfId="3" applyNumberFormat="1" applyFont="1" applyBorder="1"/>
    <xf numFmtId="164" fontId="3" fillId="0" borderId="0" xfId="0" applyNumberFormat="1" applyFont="1"/>
    <xf numFmtId="164" fontId="3" fillId="0" borderId="8" xfId="3" applyNumberFormat="1" applyFont="1" applyBorder="1"/>
    <xf numFmtId="164" fontId="3" fillId="0" borderId="9" xfId="3" applyNumberFormat="1" applyFont="1" applyBorder="1"/>
    <xf numFmtId="164" fontId="3" fillId="0" borderId="1" xfId="0" applyNumberFormat="1" applyFont="1" applyBorder="1"/>
    <xf numFmtId="164" fontId="3" fillId="0" borderId="10" xfId="3" applyNumberFormat="1" applyFont="1" applyBorder="1"/>
    <xf numFmtId="164" fontId="3" fillId="0" borderId="11" xfId="3" applyNumberFormat="1" applyFont="1" applyBorder="1"/>
    <xf numFmtId="164" fontId="3" fillId="0" borderId="8" xfId="3" applyNumberFormat="1" applyFont="1" applyFill="1" applyBorder="1"/>
    <xf numFmtId="164" fontId="3" fillId="0" borderId="10" xfId="3" applyNumberFormat="1" applyFont="1" applyFill="1" applyBorder="1"/>
    <xf numFmtId="0" fontId="2" fillId="3" borderId="6" xfId="0" applyFont="1" applyFill="1" applyBorder="1"/>
    <xf numFmtId="6" fontId="2" fillId="3" borderId="19" xfId="0" applyNumberFormat="1" applyFont="1" applyFill="1" applyBorder="1"/>
    <xf numFmtId="0" fontId="2" fillId="3" borderId="19" xfId="0" applyFont="1" applyFill="1" applyBorder="1"/>
    <xf numFmtId="0" fontId="2" fillId="3" borderId="7" xfId="0" applyFont="1" applyFill="1" applyBorder="1"/>
    <xf numFmtId="0" fontId="2" fillId="3" borderId="10" xfId="0" applyFont="1" applyFill="1" applyBorder="1"/>
    <xf numFmtId="0" fontId="2" fillId="3" borderId="1" xfId="0" applyFont="1" applyFill="1" applyBorder="1"/>
    <xf numFmtId="0" fontId="2" fillId="3" borderId="11" xfId="0" applyFont="1" applyFill="1" applyBorder="1"/>
    <xf numFmtId="0" fontId="18" fillId="3" borderId="0" xfId="0" applyFont="1" applyFill="1"/>
    <xf numFmtId="168" fontId="0" fillId="0" borderId="0" xfId="0" applyNumberFormat="1" applyFill="1" applyBorder="1"/>
    <xf numFmtId="168" fontId="2" fillId="0" borderId="0" xfId="0" applyNumberFormat="1" applyFont="1" applyFill="1" applyBorder="1" applyAlignment="1">
      <alignment horizontal="center"/>
    </xf>
    <xf numFmtId="168" fontId="0" fillId="0" borderId="0" xfId="0" applyNumberFormat="1"/>
    <xf numFmtId="168" fontId="0" fillId="0" borderId="0" xfId="0" applyNumberFormat="1" applyAlignment="1">
      <alignment horizontal="left"/>
    </xf>
    <xf numFmtId="168" fontId="0" fillId="0" borderId="0" xfId="0" applyNumberFormat="1" applyFill="1" applyAlignment="1">
      <alignment horizontal="left"/>
    </xf>
    <xf numFmtId="0" fontId="3" fillId="0" borderId="0" xfId="1" applyNumberFormat="1" applyFont="1" applyFill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6" fillId="4" borderId="4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7">
    <cellStyle name="Bad" xfId="5" builtinId="27"/>
    <cellStyle name="Comma" xfId="2" builtinId="3"/>
    <cellStyle name="Currency" xfId="3" builtinId="4"/>
    <cellStyle name="Good" xfId="4" builtinId="26"/>
    <cellStyle name="Neutral" xfId="6" builtinId="2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9900"/>
      <color rgb="FF339966"/>
      <color rgb="FF66FFFF"/>
      <color rgb="FF66FF66"/>
      <color rgb="FF5D9E3C"/>
      <color rgb="FF00FF00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>
                <a:effectLst/>
              </a:rPr>
              <a:t>Curb Appeal III - Project % Complete Per Week</a:t>
            </a:r>
            <a:endParaRPr lang="en-US">
              <a:effectLst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8.5938845037781167E-2"/>
          <c:y val="0.12464485310665414"/>
          <c:w val="0.87967451765280247"/>
          <c:h val="0.73470214545074775"/>
        </c:manualLayout>
      </c:layout>
      <c:lineChart>
        <c:grouping val="standard"/>
        <c:varyColors val="0"/>
        <c:ser>
          <c:idx val="0"/>
          <c:order val="0"/>
          <c:tx>
            <c:strRef>
              <c:f>'Curb Appeal III &amp; IV'!$B$2</c:f>
              <c:strCache>
                <c:ptCount val="1"/>
                <c:pt idx="0">
                  <c:v>Curb Appeal III Project % complete per week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'Curb Appeal III &amp; IV'!$A$3:$A$45</c:f>
              <c:numCache>
                <c:formatCode>m/d/yy;@</c:formatCode>
                <c:ptCount val="43"/>
                <c:pt idx="0">
                  <c:v>41583</c:v>
                </c:pt>
                <c:pt idx="1">
                  <c:v>41590</c:v>
                </c:pt>
                <c:pt idx="2">
                  <c:v>41597</c:v>
                </c:pt>
                <c:pt idx="3">
                  <c:v>41604</c:v>
                </c:pt>
                <c:pt idx="4">
                  <c:v>41611</c:v>
                </c:pt>
                <c:pt idx="5">
                  <c:v>41618</c:v>
                </c:pt>
                <c:pt idx="6">
                  <c:v>41625</c:v>
                </c:pt>
                <c:pt idx="7">
                  <c:v>41632</c:v>
                </c:pt>
                <c:pt idx="8">
                  <c:v>41639</c:v>
                </c:pt>
                <c:pt idx="9">
                  <c:v>41646</c:v>
                </c:pt>
                <c:pt idx="10">
                  <c:v>41653</c:v>
                </c:pt>
                <c:pt idx="11">
                  <c:v>41660</c:v>
                </c:pt>
                <c:pt idx="12">
                  <c:v>41667</c:v>
                </c:pt>
                <c:pt idx="13">
                  <c:v>41674</c:v>
                </c:pt>
                <c:pt idx="14">
                  <c:v>41681</c:v>
                </c:pt>
                <c:pt idx="15">
                  <c:v>41688</c:v>
                </c:pt>
                <c:pt idx="16">
                  <c:v>41695</c:v>
                </c:pt>
                <c:pt idx="17">
                  <c:v>41702</c:v>
                </c:pt>
                <c:pt idx="18">
                  <c:v>41709</c:v>
                </c:pt>
                <c:pt idx="19">
                  <c:v>41716</c:v>
                </c:pt>
                <c:pt idx="20">
                  <c:v>41723</c:v>
                </c:pt>
                <c:pt idx="21">
                  <c:v>41730</c:v>
                </c:pt>
                <c:pt idx="22">
                  <c:v>41737</c:v>
                </c:pt>
                <c:pt idx="23">
                  <c:v>41744</c:v>
                </c:pt>
                <c:pt idx="24">
                  <c:v>41751</c:v>
                </c:pt>
                <c:pt idx="25">
                  <c:v>41758</c:v>
                </c:pt>
                <c:pt idx="26">
                  <c:v>41765</c:v>
                </c:pt>
                <c:pt idx="27">
                  <c:v>41772</c:v>
                </c:pt>
                <c:pt idx="28">
                  <c:v>41779</c:v>
                </c:pt>
                <c:pt idx="29">
                  <c:v>41786</c:v>
                </c:pt>
                <c:pt idx="30">
                  <c:v>41793</c:v>
                </c:pt>
                <c:pt idx="31">
                  <c:v>41800</c:v>
                </c:pt>
                <c:pt idx="32">
                  <c:v>41807</c:v>
                </c:pt>
                <c:pt idx="33">
                  <c:v>41814</c:v>
                </c:pt>
                <c:pt idx="34">
                  <c:v>41821</c:v>
                </c:pt>
                <c:pt idx="35">
                  <c:v>41828</c:v>
                </c:pt>
                <c:pt idx="36">
                  <c:v>41835</c:v>
                </c:pt>
                <c:pt idx="37">
                  <c:v>41842</c:v>
                </c:pt>
                <c:pt idx="38">
                  <c:v>41849</c:v>
                </c:pt>
                <c:pt idx="39">
                  <c:v>41856</c:v>
                </c:pt>
                <c:pt idx="40">
                  <c:v>41863</c:v>
                </c:pt>
                <c:pt idx="41">
                  <c:v>41870</c:v>
                </c:pt>
                <c:pt idx="42">
                  <c:v>41877</c:v>
                </c:pt>
              </c:numCache>
            </c:numRef>
          </c:cat>
          <c:val>
            <c:numRef>
              <c:f>'Curb Appeal III &amp; IV'!$B$3:$B$45</c:f>
              <c:numCache>
                <c:formatCode>0%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0.26</c:v>
                </c:pt>
                <c:pt idx="5">
                  <c:v>0.26</c:v>
                </c:pt>
                <c:pt idx="6">
                  <c:v>0.26</c:v>
                </c:pt>
                <c:pt idx="7">
                  <c:v>0.26</c:v>
                </c:pt>
                <c:pt idx="8">
                  <c:v>0.26</c:v>
                </c:pt>
                <c:pt idx="9">
                  <c:v>0.38</c:v>
                </c:pt>
                <c:pt idx="10">
                  <c:v>0.38</c:v>
                </c:pt>
                <c:pt idx="11">
                  <c:v>0.38</c:v>
                </c:pt>
                <c:pt idx="12">
                  <c:v>0.38</c:v>
                </c:pt>
                <c:pt idx="13">
                  <c:v>0.38</c:v>
                </c:pt>
                <c:pt idx="14">
                  <c:v>0.38</c:v>
                </c:pt>
                <c:pt idx="15">
                  <c:v>0.38</c:v>
                </c:pt>
                <c:pt idx="16">
                  <c:v>0.38</c:v>
                </c:pt>
                <c:pt idx="17">
                  <c:v>0.47</c:v>
                </c:pt>
                <c:pt idx="18">
                  <c:v>0.49</c:v>
                </c:pt>
                <c:pt idx="19">
                  <c:v>0.57999999999999996</c:v>
                </c:pt>
                <c:pt idx="20">
                  <c:v>0.62</c:v>
                </c:pt>
                <c:pt idx="21">
                  <c:v>0.66</c:v>
                </c:pt>
                <c:pt idx="22">
                  <c:v>0.71</c:v>
                </c:pt>
                <c:pt idx="23">
                  <c:v>0.71</c:v>
                </c:pt>
                <c:pt idx="24">
                  <c:v>0.73</c:v>
                </c:pt>
                <c:pt idx="25">
                  <c:v>0.74</c:v>
                </c:pt>
                <c:pt idx="26">
                  <c:v>0.76</c:v>
                </c:pt>
                <c:pt idx="27">
                  <c:v>0.78</c:v>
                </c:pt>
                <c:pt idx="28">
                  <c:v>0.79</c:v>
                </c:pt>
                <c:pt idx="29">
                  <c:v>0.82</c:v>
                </c:pt>
                <c:pt idx="30">
                  <c:v>0.83</c:v>
                </c:pt>
                <c:pt idx="31">
                  <c:v>0.85</c:v>
                </c:pt>
                <c:pt idx="32">
                  <c:v>0.86</c:v>
                </c:pt>
                <c:pt idx="33">
                  <c:v>0.87</c:v>
                </c:pt>
                <c:pt idx="34">
                  <c:v>0.91</c:v>
                </c:pt>
                <c:pt idx="35">
                  <c:v>0.91</c:v>
                </c:pt>
                <c:pt idx="36">
                  <c:v>0.91</c:v>
                </c:pt>
                <c:pt idx="37">
                  <c:v>0.92</c:v>
                </c:pt>
                <c:pt idx="38">
                  <c:v>0.92</c:v>
                </c:pt>
                <c:pt idx="39">
                  <c:v>0.93</c:v>
                </c:pt>
                <c:pt idx="40">
                  <c:v>0.94</c:v>
                </c:pt>
                <c:pt idx="41">
                  <c:v>0.94</c:v>
                </c:pt>
                <c:pt idx="42">
                  <c:v>0.95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'Curb Appeal III &amp; IV'!$C$2</c:f>
              <c:strCache>
                <c:ptCount val="1"/>
                <c:pt idx="0">
                  <c:v>Goal</c:v>
                </c:pt>
              </c:strCache>
            </c:strRef>
          </c:tx>
          <c:marker>
            <c:symbol val="none"/>
          </c:marker>
          <c:cat>
            <c:numRef>
              <c:f>'Curb Appeal III &amp; IV'!$A$3:$A$45</c:f>
              <c:numCache>
                <c:formatCode>m/d/yy;@</c:formatCode>
                <c:ptCount val="43"/>
                <c:pt idx="0">
                  <c:v>41583</c:v>
                </c:pt>
                <c:pt idx="1">
                  <c:v>41590</c:v>
                </c:pt>
                <c:pt idx="2">
                  <c:v>41597</c:v>
                </c:pt>
                <c:pt idx="3">
                  <c:v>41604</c:v>
                </c:pt>
                <c:pt idx="4">
                  <c:v>41611</c:v>
                </c:pt>
                <c:pt idx="5">
                  <c:v>41618</c:v>
                </c:pt>
                <c:pt idx="6">
                  <c:v>41625</c:v>
                </c:pt>
                <c:pt idx="7">
                  <c:v>41632</c:v>
                </c:pt>
                <c:pt idx="8">
                  <c:v>41639</c:v>
                </c:pt>
                <c:pt idx="9">
                  <c:v>41646</c:v>
                </c:pt>
                <c:pt idx="10">
                  <c:v>41653</c:v>
                </c:pt>
                <c:pt idx="11">
                  <c:v>41660</c:v>
                </c:pt>
                <c:pt idx="12">
                  <c:v>41667</c:v>
                </c:pt>
                <c:pt idx="13">
                  <c:v>41674</c:v>
                </c:pt>
                <c:pt idx="14">
                  <c:v>41681</c:v>
                </c:pt>
                <c:pt idx="15">
                  <c:v>41688</c:v>
                </c:pt>
                <c:pt idx="16">
                  <c:v>41695</c:v>
                </c:pt>
                <c:pt idx="17">
                  <c:v>41702</c:v>
                </c:pt>
                <c:pt idx="18">
                  <c:v>41709</c:v>
                </c:pt>
                <c:pt idx="19">
                  <c:v>41716</c:v>
                </c:pt>
                <c:pt idx="20">
                  <c:v>41723</c:v>
                </c:pt>
                <c:pt idx="21">
                  <c:v>41730</c:v>
                </c:pt>
                <c:pt idx="22">
                  <c:v>41737</c:v>
                </c:pt>
                <c:pt idx="23">
                  <c:v>41744</c:v>
                </c:pt>
                <c:pt idx="24">
                  <c:v>41751</c:v>
                </c:pt>
                <c:pt idx="25">
                  <c:v>41758</c:v>
                </c:pt>
                <c:pt idx="26">
                  <c:v>41765</c:v>
                </c:pt>
                <c:pt idx="27">
                  <c:v>41772</c:v>
                </c:pt>
                <c:pt idx="28">
                  <c:v>41779</c:v>
                </c:pt>
                <c:pt idx="29">
                  <c:v>41786</c:v>
                </c:pt>
                <c:pt idx="30">
                  <c:v>41793</c:v>
                </c:pt>
                <c:pt idx="31">
                  <c:v>41800</c:v>
                </c:pt>
                <c:pt idx="32">
                  <c:v>41807</c:v>
                </c:pt>
                <c:pt idx="33">
                  <c:v>41814</c:v>
                </c:pt>
                <c:pt idx="34">
                  <c:v>41821</c:v>
                </c:pt>
                <c:pt idx="35">
                  <c:v>41828</c:v>
                </c:pt>
                <c:pt idx="36">
                  <c:v>41835</c:v>
                </c:pt>
                <c:pt idx="37">
                  <c:v>41842</c:v>
                </c:pt>
                <c:pt idx="38">
                  <c:v>41849</c:v>
                </c:pt>
                <c:pt idx="39">
                  <c:v>41856</c:v>
                </c:pt>
                <c:pt idx="40">
                  <c:v>41863</c:v>
                </c:pt>
                <c:pt idx="41">
                  <c:v>41870</c:v>
                </c:pt>
                <c:pt idx="42">
                  <c:v>41877</c:v>
                </c:pt>
              </c:numCache>
            </c:numRef>
          </c:cat>
          <c:val>
            <c:numRef>
              <c:f>'Curb Appeal III &amp; IV'!$C$3:$C$45</c:f>
              <c:numCache>
                <c:formatCode>0%</c:formatCode>
                <c:ptCount val="43"/>
                <c:pt idx="0">
                  <c:v>0.04</c:v>
                </c:pt>
                <c:pt idx="1">
                  <c:v>0.08</c:v>
                </c:pt>
                <c:pt idx="2">
                  <c:v>0.12</c:v>
                </c:pt>
                <c:pt idx="3">
                  <c:v>0.16</c:v>
                </c:pt>
                <c:pt idx="4">
                  <c:v>0.2</c:v>
                </c:pt>
                <c:pt idx="5">
                  <c:v>0.24</c:v>
                </c:pt>
                <c:pt idx="6">
                  <c:v>0.28000000000000003</c:v>
                </c:pt>
                <c:pt idx="7">
                  <c:v>0.32</c:v>
                </c:pt>
                <c:pt idx="8">
                  <c:v>0.36</c:v>
                </c:pt>
                <c:pt idx="9">
                  <c:v>0.4</c:v>
                </c:pt>
                <c:pt idx="10">
                  <c:v>0.44</c:v>
                </c:pt>
                <c:pt idx="11">
                  <c:v>0.48</c:v>
                </c:pt>
                <c:pt idx="12">
                  <c:v>0.52</c:v>
                </c:pt>
                <c:pt idx="13">
                  <c:v>0.56000000000000005</c:v>
                </c:pt>
                <c:pt idx="14">
                  <c:v>0.6</c:v>
                </c:pt>
                <c:pt idx="15">
                  <c:v>0.64</c:v>
                </c:pt>
                <c:pt idx="16">
                  <c:v>0.68</c:v>
                </c:pt>
                <c:pt idx="17">
                  <c:v>0.72</c:v>
                </c:pt>
                <c:pt idx="18">
                  <c:v>0.76</c:v>
                </c:pt>
                <c:pt idx="19">
                  <c:v>0.8</c:v>
                </c:pt>
                <c:pt idx="20">
                  <c:v>0.84</c:v>
                </c:pt>
                <c:pt idx="21">
                  <c:v>0.88</c:v>
                </c:pt>
                <c:pt idx="22">
                  <c:v>0.92</c:v>
                </c:pt>
                <c:pt idx="23">
                  <c:v>0.96</c:v>
                </c:pt>
                <c:pt idx="24">
                  <c:v>0.99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108720"/>
        <c:axId val="192889168"/>
      </c:lineChart>
      <c:dateAx>
        <c:axId val="193108720"/>
        <c:scaling>
          <c:orientation val="minMax"/>
        </c:scaling>
        <c:delete val="0"/>
        <c:axPos val="b"/>
        <c:numFmt formatCode="m/d/yy;@" sourceLinked="1"/>
        <c:majorTickMark val="out"/>
        <c:minorTickMark val="none"/>
        <c:tickLblPos val="nextTo"/>
        <c:crossAx val="192889168"/>
        <c:crosses val="autoZero"/>
        <c:auto val="1"/>
        <c:lblOffset val="100"/>
        <c:baseTimeUnit val="days"/>
      </c:dateAx>
      <c:valAx>
        <c:axId val="192889168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</a:t>
                </a:r>
                <a:r>
                  <a:rPr lang="en-US" baseline="0"/>
                  <a:t> Complete</a:t>
                </a:r>
                <a:endParaRPr lang="en-US"/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93108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21077798125346"/>
          <c:y val="0.70028496789011008"/>
          <c:w val="0.31320145973201924"/>
          <c:h val="9.3714096370620642E-2"/>
        </c:manualLayout>
      </c:layout>
      <c:overlay val="0"/>
    </c:legend>
    <c:plotVisOnly val="1"/>
    <c:dispBlanksAs val="gap"/>
    <c:showDLblsOverMax val="0"/>
  </c:chart>
  <c:printSettings>
    <c:headerFooter/>
    <c:pageMargins b="0.75" l="0.25" r="0.25" t="0.75" header="0.3" footer="0.3"/>
    <c:pageSetup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Engineering Backlog - Age Distribution 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22563911708699438"/>
          <c:y val="5.343050111709714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338909164785609"/>
          <c:y val="8.2537206918871592E-2"/>
          <c:w val="0.82285804598899592"/>
          <c:h val="0.60395929142174498"/>
        </c:manualLayout>
      </c:layout>
      <c:lineChart>
        <c:grouping val="standard"/>
        <c:varyColors val="0"/>
        <c:ser>
          <c:idx val="0"/>
          <c:order val="0"/>
          <c:tx>
            <c:strRef>
              <c:f>Engineering!$B$142</c:f>
              <c:strCache>
                <c:ptCount val="1"/>
                <c:pt idx="0">
                  <c:v>Total #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Engineering!$A$181:$A$193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Engineering!$B$181:$B$193</c:f>
              <c:numCache>
                <c:formatCode>General</c:formatCode>
                <c:ptCount val="13"/>
                <c:pt idx="0">
                  <c:v>485</c:v>
                </c:pt>
                <c:pt idx="1">
                  <c:v>521</c:v>
                </c:pt>
                <c:pt idx="2">
                  <c:v>586</c:v>
                </c:pt>
                <c:pt idx="3">
                  <c:v>606</c:v>
                </c:pt>
                <c:pt idx="4">
                  <c:v>667</c:v>
                </c:pt>
                <c:pt idx="5">
                  <c:v>276</c:v>
                </c:pt>
                <c:pt idx="6">
                  <c:v>333</c:v>
                </c:pt>
                <c:pt idx="7">
                  <c:v>409</c:v>
                </c:pt>
                <c:pt idx="8">
                  <c:v>379</c:v>
                </c:pt>
                <c:pt idx="9">
                  <c:v>551</c:v>
                </c:pt>
                <c:pt idx="10">
                  <c:v>611</c:v>
                </c:pt>
                <c:pt idx="11">
                  <c:v>759</c:v>
                </c:pt>
                <c:pt idx="12">
                  <c:v>560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Engineering!$C$142</c:f>
              <c:strCache>
                <c:ptCount val="1"/>
                <c:pt idx="0">
                  <c:v>&lt; 30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Engineering!$A$181:$A$193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Engineering!$C$181:$C$193</c:f>
              <c:numCache>
                <c:formatCode>General</c:formatCode>
                <c:ptCount val="13"/>
                <c:pt idx="0">
                  <c:v>299</c:v>
                </c:pt>
                <c:pt idx="1">
                  <c:v>223</c:v>
                </c:pt>
                <c:pt idx="2">
                  <c:v>264</c:v>
                </c:pt>
                <c:pt idx="3">
                  <c:v>190</c:v>
                </c:pt>
                <c:pt idx="4">
                  <c:v>184</c:v>
                </c:pt>
                <c:pt idx="5">
                  <c:v>222</c:v>
                </c:pt>
                <c:pt idx="6">
                  <c:v>214</c:v>
                </c:pt>
                <c:pt idx="7">
                  <c:v>204</c:v>
                </c:pt>
                <c:pt idx="8">
                  <c:v>179</c:v>
                </c:pt>
                <c:pt idx="9">
                  <c:v>278</c:v>
                </c:pt>
                <c:pt idx="10">
                  <c:v>233</c:v>
                </c:pt>
                <c:pt idx="11">
                  <c:v>259</c:v>
                </c:pt>
                <c:pt idx="12">
                  <c:v>299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Engineering!$D$142</c:f>
              <c:strCache>
                <c:ptCount val="1"/>
                <c:pt idx="0">
                  <c:v>31-60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Engineering!$A$181:$A$193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Engineering!$D$181:$D$193</c:f>
              <c:numCache>
                <c:formatCode>General</c:formatCode>
                <c:ptCount val="13"/>
                <c:pt idx="0">
                  <c:v>70</c:v>
                </c:pt>
                <c:pt idx="1">
                  <c:v>177</c:v>
                </c:pt>
                <c:pt idx="2">
                  <c:v>38</c:v>
                </c:pt>
                <c:pt idx="3">
                  <c:v>142</c:v>
                </c:pt>
                <c:pt idx="4">
                  <c:v>99</c:v>
                </c:pt>
                <c:pt idx="5">
                  <c:v>27</c:v>
                </c:pt>
                <c:pt idx="6">
                  <c:v>104</c:v>
                </c:pt>
                <c:pt idx="7">
                  <c:v>104</c:v>
                </c:pt>
                <c:pt idx="8">
                  <c:v>84</c:v>
                </c:pt>
                <c:pt idx="9">
                  <c:v>91</c:v>
                </c:pt>
                <c:pt idx="10">
                  <c:v>128</c:v>
                </c:pt>
                <c:pt idx="11">
                  <c:v>149</c:v>
                </c:pt>
                <c:pt idx="12">
                  <c:v>83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Engineering!$E$142</c:f>
              <c:strCache>
                <c:ptCount val="1"/>
                <c:pt idx="0">
                  <c:v>61-90 Days 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Engineering!$A$181:$A$193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Engineering!$E$181:$E$193</c:f>
              <c:numCache>
                <c:formatCode>General</c:formatCode>
                <c:ptCount val="13"/>
                <c:pt idx="0">
                  <c:v>28</c:v>
                </c:pt>
                <c:pt idx="1">
                  <c:v>33</c:v>
                </c:pt>
                <c:pt idx="2">
                  <c:v>168</c:v>
                </c:pt>
                <c:pt idx="3">
                  <c:v>37</c:v>
                </c:pt>
                <c:pt idx="4">
                  <c:v>119</c:v>
                </c:pt>
                <c:pt idx="5">
                  <c:v>1</c:v>
                </c:pt>
                <c:pt idx="6">
                  <c:v>4</c:v>
                </c:pt>
                <c:pt idx="7">
                  <c:v>86</c:v>
                </c:pt>
                <c:pt idx="8">
                  <c:v>75</c:v>
                </c:pt>
                <c:pt idx="9">
                  <c:v>73</c:v>
                </c:pt>
                <c:pt idx="10">
                  <c:v>77</c:v>
                </c:pt>
                <c:pt idx="11">
                  <c:v>115</c:v>
                </c:pt>
                <c:pt idx="12">
                  <c:v>55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Engineering!$F$142</c:f>
              <c:strCache>
                <c:ptCount val="1"/>
                <c:pt idx="0">
                  <c:v>91-180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Engineering!$A$181:$A$193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Engineering!$F$181:$F$193</c:f>
              <c:numCache>
                <c:formatCode>General</c:formatCode>
                <c:ptCount val="13"/>
                <c:pt idx="0">
                  <c:v>85</c:v>
                </c:pt>
                <c:pt idx="1">
                  <c:v>64</c:v>
                </c:pt>
                <c:pt idx="2">
                  <c:v>79</c:v>
                </c:pt>
                <c:pt idx="3">
                  <c:v>194</c:v>
                </c:pt>
                <c:pt idx="4">
                  <c:v>205</c:v>
                </c:pt>
                <c:pt idx="5">
                  <c:v>12</c:v>
                </c:pt>
                <c:pt idx="6">
                  <c:v>4</c:v>
                </c:pt>
                <c:pt idx="7">
                  <c:v>6</c:v>
                </c:pt>
                <c:pt idx="8">
                  <c:v>32</c:v>
                </c:pt>
                <c:pt idx="9">
                  <c:v>99</c:v>
                </c:pt>
                <c:pt idx="10">
                  <c:v>159</c:v>
                </c:pt>
                <c:pt idx="11">
                  <c:v>192</c:v>
                </c:pt>
                <c:pt idx="12">
                  <c:v>81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Engineering!$G$142</c:f>
              <c:strCache>
                <c:ptCount val="1"/>
                <c:pt idx="0">
                  <c:v>181-365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Engineering!$A$181:$A$193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Engineering!$G$181:$G$193</c:f>
              <c:numCache>
                <c:formatCode>General</c:formatCode>
                <c:ptCount val="13"/>
                <c:pt idx="0">
                  <c:v>2</c:v>
                </c:pt>
                <c:pt idx="1">
                  <c:v>23</c:v>
                </c:pt>
                <c:pt idx="2">
                  <c:v>36</c:v>
                </c:pt>
                <c:pt idx="3">
                  <c:v>43</c:v>
                </c:pt>
                <c:pt idx="4">
                  <c:v>60</c:v>
                </c:pt>
                <c:pt idx="5">
                  <c:v>14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9</c:v>
                </c:pt>
                <c:pt idx="11">
                  <c:v>40</c:v>
                </c:pt>
                <c:pt idx="12">
                  <c:v>36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Engineering!$H$142</c:f>
              <c:strCache>
                <c:ptCount val="1"/>
                <c:pt idx="0">
                  <c:v>&gt;365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Engineering!$A$181:$A$193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Engineering!$H$181:$H$193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5</c:v>
                </c:pt>
                <c:pt idx="11">
                  <c:v>4</c:v>
                </c:pt>
                <c:pt idx="12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784464"/>
        <c:axId val="343214896"/>
      </c:lineChart>
      <c:dateAx>
        <c:axId val="342784464"/>
        <c:scaling>
          <c:orientation val="minMax"/>
        </c:scaling>
        <c:delete val="1"/>
        <c:axPos val="b"/>
        <c:numFmt formatCode="mmm\-yy" sourceLinked="1"/>
        <c:majorTickMark val="none"/>
        <c:minorTickMark val="none"/>
        <c:tickLblPos val="nextTo"/>
        <c:crossAx val="343214896"/>
        <c:crosses val="autoZero"/>
        <c:auto val="1"/>
        <c:lblOffset val="100"/>
        <c:baseTimeUnit val="months"/>
      </c:dateAx>
      <c:valAx>
        <c:axId val="3432148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work orders</a:t>
                </a:r>
              </a:p>
            </c:rich>
          </c:tx>
          <c:layout>
            <c:manualLayout>
              <c:xMode val="edge"/>
              <c:yMode val="edge"/>
              <c:x val="2.2188359857399548E-2"/>
              <c:y val="0.2568571381710814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34278446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</a:t>
            </a:r>
          </a:p>
          <a:p>
            <a:pPr>
              <a:defRPr/>
            </a:pPr>
            <a:r>
              <a:rPr lang="en-US"/>
              <a:t>Engineering Maintenance</a:t>
            </a:r>
            <a:r>
              <a:rPr lang="en-US" baseline="0"/>
              <a:t> </a:t>
            </a:r>
            <a:r>
              <a:rPr lang="en-US"/>
              <a:t>without Housing</a:t>
            </a:r>
          </a:p>
        </c:rich>
      </c:tx>
      <c:layout>
        <c:manualLayout>
          <c:xMode val="edge"/>
          <c:yMode val="edge"/>
          <c:x val="0.32916017793017333"/>
          <c:y val="1.9006871332094725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Engineering!$Q$2</c:f>
              <c:strCache>
                <c:ptCount val="1"/>
                <c:pt idx="0">
                  <c:v>Created</c:v>
                </c:pt>
              </c:strCache>
            </c:strRef>
          </c:tx>
          <c:invertIfNegative val="0"/>
          <c:cat>
            <c:numRef>
              <c:f>Engineering!$P$39:$P$51</c:f>
              <c:numCache>
                <c:formatCode>mmm\-yy</c:formatCode>
                <c:ptCount val="9"/>
                <c:pt idx="0">
                  <c:v>42125</c:v>
                </c:pt>
                <c:pt idx="1">
                  <c:v>42156</c:v>
                </c:pt>
                <c:pt idx="2">
                  <c:v>42200</c:v>
                </c:pt>
                <c:pt idx="3">
                  <c:v>42231</c:v>
                </c:pt>
                <c:pt idx="4">
                  <c:v>42262</c:v>
                </c:pt>
                <c:pt idx="5">
                  <c:v>42292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</c:numCache>
            </c:numRef>
          </c:cat>
          <c:val>
            <c:numRef>
              <c:f>Engineering!$Q$39:$Q$51</c:f>
              <c:numCache>
                <c:formatCode>General</c:formatCode>
                <c:ptCount val="9"/>
                <c:pt idx="0">
                  <c:v>482</c:v>
                </c:pt>
                <c:pt idx="1">
                  <c:v>494</c:v>
                </c:pt>
                <c:pt idx="2">
                  <c:v>465</c:v>
                </c:pt>
                <c:pt idx="3">
                  <c:v>431</c:v>
                </c:pt>
                <c:pt idx="4">
                  <c:v>450</c:v>
                </c:pt>
                <c:pt idx="5">
                  <c:v>631</c:v>
                </c:pt>
                <c:pt idx="6">
                  <c:v>493</c:v>
                </c:pt>
                <c:pt idx="7">
                  <c:v>606</c:v>
                </c:pt>
                <c:pt idx="8">
                  <c:v>672</c:v>
                </c:pt>
              </c:numCache>
            </c:numRef>
          </c:val>
        </c:ser>
        <c:ser>
          <c:idx val="3"/>
          <c:order val="3"/>
          <c:tx>
            <c:strRef>
              <c:f>Engineering!$T$2</c:f>
              <c:strCache>
                <c:ptCount val="1"/>
                <c:pt idx="0">
                  <c:v>Finished</c:v>
                </c:pt>
              </c:strCache>
            </c:strRef>
          </c:tx>
          <c:invertIfNegative val="0"/>
          <c:cat>
            <c:numRef>
              <c:f>Engineering!$P$39:$P$51</c:f>
              <c:numCache>
                <c:formatCode>mmm\-yy</c:formatCode>
                <c:ptCount val="9"/>
                <c:pt idx="0">
                  <c:v>42125</c:v>
                </c:pt>
                <c:pt idx="1">
                  <c:v>42156</c:v>
                </c:pt>
                <c:pt idx="2">
                  <c:v>42200</c:v>
                </c:pt>
                <c:pt idx="3">
                  <c:v>42231</c:v>
                </c:pt>
                <c:pt idx="4">
                  <c:v>42262</c:v>
                </c:pt>
                <c:pt idx="5">
                  <c:v>42292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</c:numCache>
            </c:numRef>
          </c:cat>
          <c:val>
            <c:numRef>
              <c:f>Engineering!$T$39:$T$51</c:f>
              <c:numCache>
                <c:formatCode>#,##0_);[Red]\(#,##0\)</c:formatCode>
                <c:ptCount val="9"/>
                <c:pt idx="0">
                  <c:v>444</c:v>
                </c:pt>
                <c:pt idx="1">
                  <c:v>449</c:v>
                </c:pt>
                <c:pt idx="2">
                  <c:v>426</c:v>
                </c:pt>
                <c:pt idx="3">
                  <c:v>399</c:v>
                </c:pt>
                <c:pt idx="4">
                  <c:v>427</c:v>
                </c:pt>
                <c:pt idx="5">
                  <c:v>544</c:v>
                </c:pt>
                <c:pt idx="6">
                  <c:v>434</c:v>
                </c:pt>
                <c:pt idx="7">
                  <c:v>301</c:v>
                </c:pt>
                <c:pt idx="8">
                  <c:v>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216072"/>
        <c:axId val="343216464"/>
      </c:barChart>
      <c:lineChart>
        <c:grouping val="standard"/>
        <c:varyColors val="0"/>
        <c:ser>
          <c:idx val="1"/>
          <c:order val="1"/>
          <c:tx>
            <c:strRef>
              <c:f>Engineering!$R$2</c:f>
              <c:strCache>
                <c:ptCount val="1"/>
                <c:pt idx="0">
                  <c:v>Goal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Engineering!$P$39:$P$51</c:f>
              <c:numCache>
                <c:formatCode>mmm\-yy</c:formatCode>
                <c:ptCount val="9"/>
                <c:pt idx="0">
                  <c:v>42125</c:v>
                </c:pt>
                <c:pt idx="1">
                  <c:v>42156</c:v>
                </c:pt>
                <c:pt idx="2">
                  <c:v>42200</c:v>
                </c:pt>
                <c:pt idx="3">
                  <c:v>42231</c:v>
                </c:pt>
                <c:pt idx="4">
                  <c:v>42262</c:v>
                </c:pt>
                <c:pt idx="5">
                  <c:v>42292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</c:numCache>
            </c:numRef>
          </c:cat>
          <c:val>
            <c:numRef>
              <c:f>Engineering!$R$39:$R$51</c:f>
              <c:numCache>
                <c:formatCode>0</c:formatCode>
                <c:ptCount val="9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Engineering!$S$2</c:f>
              <c:strCache>
                <c:ptCount val="1"/>
                <c:pt idx="0">
                  <c:v>Total #</c:v>
                </c:pt>
              </c:strCache>
            </c:strRef>
          </c:tx>
          <c:dLbls>
            <c:dLbl>
              <c:idx val="0"/>
              <c:layout>
                <c:manualLayout>
                  <c:x val="-5.0541516245487361E-2"/>
                  <c:y val="3.1432031693005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Engineering!$P$39:$P$51</c:f>
              <c:numCache>
                <c:formatCode>mmm\-yy</c:formatCode>
                <c:ptCount val="9"/>
                <c:pt idx="0">
                  <c:v>42125</c:v>
                </c:pt>
                <c:pt idx="1">
                  <c:v>42156</c:v>
                </c:pt>
                <c:pt idx="2">
                  <c:v>42200</c:v>
                </c:pt>
                <c:pt idx="3">
                  <c:v>42231</c:v>
                </c:pt>
                <c:pt idx="4">
                  <c:v>42262</c:v>
                </c:pt>
                <c:pt idx="5">
                  <c:v>42292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</c:numCache>
            </c:numRef>
          </c:cat>
          <c:val>
            <c:numRef>
              <c:f>Engineering!$S$39:$S$51</c:f>
              <c:numCache>
                <c:formatCode>#,##0_);[Red]\(#,##0\)</c:formatCode>
                <c:ptCount val="9"/>
                <c:pt idx="0">
                  <c:v>179</c:v>
                </c:pt>
                <c:pt idx="1">
                  <c:v>187</c:v>
                </c:pt>
                <c:pt idx="2">
                  <c:v>172</c:v>
                </c:pt>
                <c:pt idx="3">
                  <c:v>152</c:v>
                </c:pt>
                <c:pt idx="4" formatCode="General">
                  <c:v>110</c:v>
                </c:pt>
                <c:pt idx="5">
                  <c:v>168</c:v>
                </c:pt>
                <c:pt idx="6">
                  <c:v>82</c:v>
                </c:pt>
                <c:pt idx="7">
                  <c:v>200</c:v>
                </c:pt>
                <c:pt idx="8">
                  <c:v>166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Engineering!$U$2</c:f>
              <c:strCache>
                <c:ptCount val="1"/>
                <c:pt idx="0">
                  <c:v>  &gt; 30 Days Old</c:v>
                </c:pt>
              </c:strCache>
            </c:strRef>
          </c:tx>
          <c:cat>
            <c:numRef>
              <c:f>Engineering!$P$39:$P$51</c:f>
              <c:numCache>
                <c:formatCode>mmm\-yy</c:formatCode>
                <c:ptCount val="9"/>
                <c:pt idx="0">
                  <c:v>42125</c:v>
                </c:pt>
                <c:pt idx="1">
                  <c:v>42156</c:v>
                </c:pt>
                <c:pt idx="2">
                  <c:v>42200</c:v>
                </c:pt>
                <c:pt idx="3">
                  <c:v>42231</c:v>
                </c:pt>
                <c:pt idx="4">
                  <c:v>42262</c:v>
                </c:pt>
                <c:pt idx="5">
                  <c:v>42292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</c:numCache>
            </c:numRef>
          </c:cat>
          <c:val>
            <c:numRef>
              <c:f>Engineering!$U$39:$U$51</c:f>
              <c:numCache>
                <c:formatCode>#,##0_);[Red]\(#,##0\)</c:formatCode>
                <c:ptCount val="9"/>
                <c:pt idx="0">
                  <c:v>102</c:v>
                </c:pt>
                <c:pt idx="1">
                  <c:v>76</c:v>
                </c:pt>
                <c:pt idx="2">
                  <c:v>60</c:v>
                </c:pt>
                <c:pt idx="3">
                  <c:v>68</c:v>
                </c:pt>
                <c:pt idx="4">
                  <c:v>26</c:v>
                </c:pt>
                <c:pt idx="5" formatCode="General">
                  <c:v>33</c:v>
                </c:pt>
                <c:pt idx="6">
                  <c:v>57</c:v>
                </c:pt>
                <c:pt idx="7">
                  <c:v>76</c:v>
                </c:pt>
                <c:pt idx="8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216072"/>
        <c:axId val="343216464"/>
      </c:lineChart>
      <c:dateAx>
        <c:axId val="34321607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343216464"/>
        <c:crosses val="autoZero"/>
        <c:auto val="1"/>
        <c:lblOffset val="100"/>
        <c:baseTimeUnit val="months"/>
      </c:dateAx>
      <c:valAx>
        <c:axId val="343216464"/>
        <c:scaling>
          <c:orientation val="minMax"/>
        </c:scaling>
        <c:delete val="0"/>
        <c:axPos val="l"/>
        <c:majorGridlines/>
        <c:numFmt formatCode="#,##0_);[Red]\(#,##0\)" sourceLinked="0"/>
        <c:majorTickMark val="out"/>
        <c:minorTickMark val="none"/>
        <c:tickLblPos val="nextTo"/>
        <c:crossAx val="3432160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Engineering Backlog - Age Distribution 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22563911708699438"/>
          <c:y val="5.343050111709714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338909164785609"/>
          <c:y val="8.2537206918871592E-2"/>
          <c:w val="0.82285804598899592"/>
          <c:h val="0.60395929142174498"/>
        </c:manualLayout>
      </c:layout>
      <c:lineChart>
        <c:grouping val="standard"/>
        <c:varyColors val="0"/>
        <c:ser>
          <c:idx val="0"/>
          <c:order val="0"/>
          <c:tx>
            <c:strRef>
              <c:f>Engineering!$U$142</c:f>
              <c:strCache>
                <c:ptCount val="1"/>
                <c:pt idx="0">
                  <c:v>Total #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Engineering!$T$174:$T$186</c:f>
              <c:numCache>
                <c:formatCode>mmm\-yy</c:formatCode>
                <c:ptCount val="9"/>
                <c:pt idx="0">
                  <c:v>42125</c:v>
                </c:pt>
                <c:pt idx="1">
                  <c:v>42156</c:v>
                </c:pt>
                <c:pt idx="2">
                  <c:v>42200</c:v>
                </c:pt>
                <c:pt idx="3">
                  <c:v>42231</c:v>
                </c:pt>
                <c:pt idx="4">
                  <c:v>42262</c:v>
                </c:pt>
                <c:pt idx="5">
                  <c:v>42292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</c:numCache>
            </c:numRef>
          </c:cat>
          <c:val>
            <c:numRef>
              <c:f>Engineering!$U$174:$U$186</c:f>
              <c:numCache>
                <c:formatCode>General</c:formatCode>
                <c:ptCount val="9"/>
                <c:pt idx="4">
                  <c:v>109</c:v>
                </c:pt>
                <c:pt idx="5">
                  <c:v>167</c:v>
                </c:pt>
                <c:pt idx="6">
                  <c:v>192</c:v>
                </c:pt>
                <c:pt idx="7">
                  <c:v>200</c:v>
                </c:pt>
                <c:pt idx="8">
                  <c:v>166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Engineering!$V$142</c:f>
              <c:strCache>
                <c:ptCount val="1"/>
                <c:pt idx="0">
                  <c:v>&lt; 30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Engineering!$T$174:$T$186</c:f>
              <c:numCache>
                <c:formatCode>mmm\-yy</c:formatCode>
                <c:ptCount val="9"/>
                <c:pt idx="0">
                  <c:v>42125</c:v>
                </c:pt>
                <c:pt idx="1">
                  <c:v>42156</c:v>
                </c:pt>
                <c:pt idx="2">
                  <c:v>42200</c:v>
                </c:pt>
                <c:pt idx="3">
                  <c:v>42231</c:v>
                </c:pt>
                <c:pt idx="4">
                  <c:v>42262</c:v>
                </c:pt>
                <c:pt idx="5">
                  <c:v>42292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</c:numCache>
            </c:numRef>
          </c:cat>
          <c:val>
            <c:numRef>
              <c:f>Engineering!$V$174:$V$186</c:f>
              <c:numCache>
                <c:formatCode>General</c:formatCode>
                <c:ptCount val="9"/>
                <c:pt idx="4">
                  <c:v>83</c:v>
                </c:pt>
                <c:pt idx="5">
                  <c:v>134</c:v>
                </c:pt>
                <c:pt idx="6">
                  <c:v>133</c:v>
                </c:pt>
                <c:pt idx="7">
                  <c:v>124</c:v>
                </c:pt>
                <c:pt idx="8">
                  <c:v>113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Engineering!$W$142</c:f>
              <c:strCache>
                <c:ptCount val="1"/>
                <c:pt idx="0">
                  <c:v>31-60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Engineering!$T$174:$T$186</c:f>
              <c:numCache>
                <c:formatCode>mmm\-yy</c:formatCode>
                <c:ptCount val="9"/>
                <c:pt idx="0">
                  <c:v>42125</c:v>
                </c:pt>
                <c:pt idx="1">
                  <c:v>42156</c:v>
                </c:pt>
                <c:pt idx="2">
                  <c:v>42200</c:v>
                </c:pt>
                <c:pt idx="3">
                  <c:v>42231</c:v>
                </c:pt>
                <c:pt idx="4">
                  <c:v>42262</c:v>
                </c:pt>
                <c:pt idx="5">
                  <c:v>42292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</c:numCache>
            </c:numRef>
          </c:cat>
          <c:val>
            <c:numRef>
              <c:f>Engineering!$W$174:$W$186</c:f>
              <c:numCache>
                <c:formatCode>General</c:formatCode>
                <c:ptCount val="9"/>
                <c:pt idx="4">
                  <c:v>8</c:v>
                </c:pt>
                <c:pt idx="5">
                  <c:v>13</c:v>
                </c:pt>
                <c:pt idx="6">
                  <c:v>29</c:v>
                </c:pt>
                <c:pt idx="7">
                  <c:v>43</c:v>
                </c:pt>
                <c:pt idx="8">
                  <c:v>27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Engineering!$X$142</c:f>
              <c:strCache>
                <c:ptCount val="1"/>
                <c:pt idx="0">
                  <c:v>61-90 Days 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Engineering!$T$174:$T$186</c:f>
              <c:numCache>
                <c:formatCode>mmm\-yy</c:formatCode>
                <c:ptCount val="9"/>
                <c:pt idx="0">
                  <c:v>42125</c:v>
                </c:pt>
                <c:pt idx="1">
                  <c:v>42156</c:v>
                </c:pt>
                <c:pt idx="2">
                  <c:v>42200</c:v>
                </c:pt>
                <c:pt idx="3">
                  <c:v>42231</c:v>
                </c:pt>
                <c:pt idx="4">
                  <c:v>42262</c:v>
                </c:pt>
                <c:pt idx="5">
                  <c:v>42292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</c:numCache>
            </c:numRef>
          </c:cat>
          <c:val>
            <c:numRef>
              <c:f>Engineering!$X$174:$X$186</c:f>
              <c:numCache>
                <c:formatCode>General</c:formatCode>
                <c:ptCount val="9"/>
                <c:pt idx="4">
                  <c:v>8</c:v>
                </c:pt>
                <c:pt idx="5">
                  <c:v>4</c:v>
                </c:pt>
                <c:pt idx="6">
                  <c:v>10</c:v>
                </c:pt>
                <c:pt idx="7">
                  <c:v>12</c:v>
                </c:pt>
                <c:pt idx="8">
                  <c:v>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Engineering!$Y$142</c:f>
              <c:strCache>
                <c:ptCount val="1"/>
                <c:pt idx="0">
                  <c:v>91-180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Engineering!$T$174:$T$186</c:f>
              <c:numCache>
                <c:formatCode>mmm\-yy</c:formatCode>
                <c:ptCount val="9"/>
                <c:pt idx="0">
                  <c:v>42125</c:v>
                </c:pt>
                <c:pt idx="1">
                  <c:v>42156</c:v>
                </c:pt>
                <c:pt idx="2">
                  <c:v>42200</c:v>
                </c:pt>
                <c:pt idx="3">
                  <c:v>42231</c:v>
                </c:pt>
                <c:pt idx="4">
                  <c:v>42262</c:v>
                </c:pt>
                <c:pt idx="5">
                  <c:v>42292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</c:numCache>
            </c:numRef>
          </c:cat>
          <c:val>
            <c:numRef>
              <c:f>Engineering!$Y$174:$Y$186</c:f>
              <c:numCache>
                <c:formatCode>General</c:formatCode>
                <c:ptCount val="9"/>
                <c:pt idx="4">
                  <c:v>8</c:v>
                </c:pt>
                <c:pt idx="5">
                  <c:v>14</c:v>
                </c:pt>
                <c:pt idx="6">
                  <c:v>17</c:v>
                </c:pt>
                <c:pt idx="7">
                  <c:v>12</c:v>
                </c:pt>
                <c:pt idx="8">
                  <c:v>11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Engineering!$Z$142</c:f>
              <c:strCache>
                <c:ptCount val="1"/>
                <c:pt idx="0">
                  <c:v>181-365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Engineering!$T$174:$T$186</c:f>
              <c:numCache>
                <c:formatCode>mmm\-yy</c:formatCode>
                <c:ptCount val="9"/>
                <c:pt idx="0">
                  <c:v>42125</c:v>
                </c:pt>
                <c:pt idx="1">
                  <c:v>42156</c:v>
                </c:pt>
                <c:pt idx="2">
                  <c:v>42200</c:v>
                </c:pt>
                <c:pt idx="3">
                  <c:v>42231</c:v>
                </c:pt>
                <c:pt idx="4">
                  <c:v>42262</c:v>
                </c:pt>
                <c:pt idx="5">
                  <c:v>42292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</c:numCache>
            </c:numRef>
          </c:cat>
          <c:val>
            <c:numRef>
              <c:f>Engineering!$Z$174:$Z$186</c:f>
              <c:numCache>
                <c:formatCode>General</c:formatCode>
                <c:ptCount val="9"/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9</c:v>
                </c:pt>
                <c:pt idx="8">
                  <c:v>14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Engineering!$AA$142</c:f>
              <c:strCache>
                <c:ptCount val="1"/>
                <c:pt idx="0">
                  <c:v>&gt;365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Engineering!$T$174:$T$186</c:f>
              <c:numCache>
                <c:formatCode>mmm\-yy</c:formatCode>
                <c:ptCount val="9"/>
                <c:pt idx="0">
                  <c:v>42125</c:v>
                </c:pt>
                <c:pt idx="1">
                  <c:v>42156</c:v>
                </c:pt>
                <c:pt idx="2">
                  <c:v>42200</c:v>
                </c:pt>
                <c:pt idx="3">
                  <c:v>42231</c:v>
                </c:pt>
                <c:pt idx="4">
                  <c:v>42262</c:v>
                </c:pt>
                <c:pt idx="5">
                  <c:v>42292</c:v>
                </c:pt>
                <c:pt idx="6">
                  <c:v>42309</c:v>
                </c:pt>
                <c:pt idx="7">
                  <c:v>42339</c:v>
                </c:pt>
                <c:pt idx="8">
                  <c:v>42370</c:v>
                </c:pt>
              </c:numCache>
            </c:numRef>
          </c:cat>
          <c:val>
            <c:numRef>
              <c:f>Engineering!$AA$174:$AA$186</c:f>
              <c:numCache>
                <c:formatCode>General</c:formatCode>
                <c:ptCount val="9"/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217248"/>
        <c:axId val="343217640"/>
      </c:lineChart>
      <c:dateAx>
        <c:axId val="343217248"/>
        <c:scaling>
          <c:orientation val="minMax"/>
        </c:scaling>
        <c:delete val="1"/>
        <c:axPos val="b"/>
        <c:numFmt formatCode="mmm\-yy" sourceLinked="1"/>
        <c:majorTickMark val="none"/>
        <c:minorTickMark val="none"/>
        <c:tickLblPos val="nextTo"/>
        <c:crossAx val="343217640"/>
        <c:crosses val="autoZero"/>
        <c:auto val="1"/>
        <c:lblOffset val="100"/>
        <c:baseTimeUnit val="months"/>
      </c:dateAx>
      <c:valAx>
        <c:axId val="3432176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work orders</a:t>
                </a:r>
              </a:p>
            </c:rich>
          </c:tx>
          <c:layout>
            <c:manualLayout>
              <c:xMode val="edge"/>
              <c:yMode val="edge"/>
              <c:x val="2.2188359857399548E-2"/>
              <c:y val="0.2568571381710814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34321724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825337612967104E-2"/>
          <c:y val="0.1268383728456707"/>
          <c:w val="0.91995119914194545"/>
          <c:h val="0.62916501290997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Grounds!$B$1</c:f>
              <c:strCache>
                <c:ptCount val="1"/>
                <c:pt idx="0">
                  <c:v>Created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Grounds!$A$45:$A$57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Grounds!$B$45:$B$57</c:f>
              <c:numCache>
                <c:formatCode>General</c:formatCode>
                <c:ptCount val="13"/>
                <c:pt idx="0">
                  <c:v>11</c:v>
                </c:pt>
                <c:pt idx="1">
                  <c:v>10</c:v>
                </c:pt>
                <c:pt idx="2">
                  <c:v>5</c:v>
                </c:pt>
                <c:pt idx="3">
                  <c:v>3</c:v>
                </c:pt>
                <c:pt idx="4">
                  <c:v>1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</c:numCache>
            </c:numRef>
          </c:val>
        </c:ser>
        <c:ser>
          <c:idx val="3"/>
          <c:order val="3"/>
          <c:tx>
            <c:strRef>
              <c:f>Grounds!$E$1</c:f>
              <c:strCache>
                <c:ptCount val="1"/>
                <c:pt idx="0">
                  <c:v>Finished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Grounds!$A$45:$A$57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Grounds!$E$45:$E$57</c:f>
              <c:numCache>
                <c:formatCode>General</c:formatCode>
                <c:ptCount val="13"/>
                <c:pt idx="0">
                  <c:v>12</c:v>
                </c:pt>
                <c:pt idx="1">
                  <c:v>15</c:v>
                </c:pt>
                <c:pt idx="2">
                  <c:v>10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507920"/>
        <c:axId val="343508312"/>
      </c:barChart>
      <c:lineChart>
        <c:grouping val="standard"/>
        <c:varyColors val="0"/>
        <c:ser>
          <c:idx val="1"/>
          <c:order val="1"/>
          <c:tx>
            <c:strRef>
              <c:f>Grounds!$C$1</c:f>
              <c:strCache>
                <c:ptCount val="1"/>
                <c:pt idx="0">
                  <c:v>Goal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Grounds!$A$45:$A$57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Grounds!$C$45:$C$57</c:f>
              <c:numCache>
                <c:formatCode>General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Grounds!$D$1</c:f>
              <c:strCache>
                <c:ptCount val="1"/>
                <c:pt idx="0">
                  <c:v>Total #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Grounds!$A$45:$A$57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Grounds!$D$45:$D$57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9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15</c:v>
                </c:pt>
                <c:pt idx="11">
                  <c:v>20</c:v>
                </c:pt>
                <c:pt idx="12">
                  <c:v>28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Grounds!$F$1</c:f>
              <c:strCache>
                <c:ptCount val="1"/>
                <c:pt idx="0">
                  <c:v>  &gt; 30 Days Old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Grounds!$A$45:$A$57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Grounds!$F$45:$F$57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4</c:v>
                </c:pt>
                <c:pt idx="6">
                  <c:v>6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15</c:v>
                </c:pt>
                <c:pt idx="12">
                  <c:v>20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3507920"/>
        <c:axId val="343508312"/>
      </c:lineChart>
      <c:dateAx>
        <c:axId val="3435079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343508312"/>
        <c:crosses val="autoZero"/>
        <c:auto val="1"/>
        <c:lblOffset val="100"/>
        <c:baseTimeUnit val="months"/>
      </c:dateAx>
      <c:valAx>
        <c:axId val="343508312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35079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 Time</a:t>
            </a:r>
          </a:p>
          <a:p>
            <a:pPr>
              <a:defRPr/>
            </a:pPr>
            <a:r>
              <a:rPr lang="en-US"/>
              <a:t>GROUNDS</a:t>
            </a:r>
          </a:p>
        </c:rich>
      </c:tx>
      <c:layout>
        <c:manualLayout>
          <c:xMode val="edge"/>
          <c:yMode val="edge"/>
          <c:x val="0.2759982293050022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332061082006188E-2"/>
          <c:y val="0.14643108638204974"/>
          <c:w val="0.86510245980208644"/>
          <c:h val="0.67238555893104635"/>
        </c:manualLayout>
      </c:layout>
      <c:lineChart>
        <c:grouping val="standard"/>
        <c:varyColors val="0"/>
        <c:ser>
          <c:idx val="0"/>
          <c:order val="0"/>
          <c:tx>
            <c:strRef>
              <c:f>Grounds!$B$59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Grounds!$A$106:$A$118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Grounds!$B$106:$B$118</c:f>
              <c:numCache>
                <c:formatCode>0%</c:formatCode>
                <c:ptCount val="13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Grounds!$E$59</c:f>
              <c:strCache>
                <c:ptCount val="1"/>
                <c:pt idx="0">
                  <c:v>Actual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Grounds!$A$106:$A$118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Grounds!$E$106:$E$118</c:f>
              <c:numCache>
                <c:formatCode>0%</c:formatCode>
                <c:ptCount val="13"/>
                <c:pt idx="0">
                  <c:v>0.91666666666666663</c:v>
                </c:pt>
                <c:pt idx="1">
                  <c:v>1</c:v>
                </c:pt>
                <c:pt idx="2">
                  <c:v>0.9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509096"/>
        <c:axId val="343509488"/>
      </c:lineChart>
      <c:dateAx>
        <c:axId val="34350909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343509488"/>
        <c:crosses val="autoZero"/>
        <c:auto val="1"/>
        <c:lblOffset val="100"/>
        <c:baseTimeUnit val="months"/>
      </c:dateAx>
      <c:valAx>
        <c:axId val="343509488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343509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2032663643061626"/>
          <c:y val="0.94191783598162304"/>
          <c:w val="0.40536829278744407"/>
          <c:h val="5.803800777206546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Grounds Backlog</a:t>
            </a:r>
            <a:r>
              <a:rPr lang="en-US" baseline="0"/>
              <a:t> - Age Distribution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Grounds!$B$142</c:f>
              <c:strCache>
                <c:ptCount val="1"/>
                <c:pt idx="0">
                  <c:v>Total #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Grounds!$A$181:$A$193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Grounds!$B$181:$B$193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9</c:v>
                </c:pt>
                <c:pt idx="7">
                  <c:v>11</c:v>
                </c:pt>
                <c:pt idx="8">
                  <c:v>10</c:v>
                </c:pt>
                <c:pt idx="9">
                  <c:v>12</c:v>
                </c:pt>
                <c:pt idx="10">
                  <c:v>15</c:v>
                </c:pt>
                <c:pt idx="11">
                  <c:v>20</c:v>
                </c:pt>
                <c:pt idx="12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Grounds!$C$142</c:f>
              <c:strCache>
                <c:ptCount val="1"/>
                <c:pt idx="0">
                  <c:v>&lt; 30 Days</c:v>
                </c:pt>
              </c:strCache>
            </c:strRef>
          </c:tx>
          <c:cat>
            <c:numRef>
              <c:f>Grounds!$A$181:$A$193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Grounds!$C$181:$C$193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0</c:v>
                </c:pt>
                <c:pt idx="9">
                  <c:v>2</c:v>
                </c:pt>
                <c:pt idx="10">
                  <c:v>4</c:v>
                </c:pt>
                <c:pt idx="11">
                  <c:v>5</c:v>
                </c:pt>
                <c:pt idx="12">
                  <c:v>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Grounds!$D$142</c:f>
              <c:strCache>
                <c:ptCount val="1"/>
                <c:pt idx="0">
                  <c:v>31-60 Days</c:v>
                </c:pt>
              </c:strCache>
            </c:strRef>
          </c:tx>
          <c:cat>
            <c:numRef>
              <c:f>Grounds!$A$181:$A$193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Grounds!$D$181:$D$193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4</c:v>
                </c:pt>
                <c:pt idx="12">
                  <c:v>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Grounds!$E$142</c:f>
              <c:strCache>
                <c:ptCount val="1"/>
                <c:pt idx="0">
                  <c:v>61-90 Days </c:v>
                </c:pt>
              </c:strCache>
            </c:strRef>
          </c:tx>
          <c:cat>
            <c:numRef>
              <c:f>Grounds!$A$181:$A$193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Grounds!$E$181:$E$193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Grounds!$F$142</c:f>
              <c:strCache>
                <c:ptCount val="1"/>
                <c:pt idx="0">
                  <c:v>91-180 Days</c:v>
                </c:pt>
              </c:strCache>
            </c:strRef>
          </c:tx>
          <c:cat>
            <c:numRef>
              <c:f>Grounds!$A$181:$A$193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Grounds!$F$181:$F$193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Grounds!$G$142</c:f>
              <c:strCache>
                <c:ptCount val="1"/>
                <c:pt idx="0">
                  <c:v>181-365 Days</c:v>
                </c:pt>
              </c:strCache>
            </c:strRef>
          </c:tx>
          <c:cat>
            <c:numRef>
              <c:f>Grounds!$A$181:$A$193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Grounds!$G$181:$G$193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4</c:v>
                </c:pt>
                <c:pt idx="11">
                  <c:v>6</c:v>
                </c:pt>
                <c:pt idx="12">
                  <c:v>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Grounds!$H$142</c:f>
              <c:strCache>
                <c:ptCount val="1"/>
                <c:pt idx="0">
                  <c:v>&gt;365 Days</c:v>
                </c:pt>
              </c:strCache>
            </c:strRef>
          </c:tx>
          <c:cat>
            <c:numRef>
              <c:f>Grounds!$A$181:$A$193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Grounds!$H$181:$H$193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510272"/>
        <c:axId val="343510664"/>
      </c:lineChart>
      <c:dateAx>
        <c:axId val="343510272"/>
        <c:scaling>
          <c:orientation val="minMax"/>
        </c:scaling>
        <c:delete val="1"/>
        <c:axPos val="b"/>
        <c:numFmt formatCode="mmm\-yy" sourceLinked="1"/>
        <c:majorTickMark val="none"/>
        <c:minorTickMark val="none"/>
        <c:tickLblPos val="nextTo"/>
        <c:crossAx val="343510664"/>
        <c:crosses val="autoZero"/>
        <c:auto val="1"/>
        <c:lblOffset val="100"/>
        <c:baseTimeUnit val="months"/>
      </c:dateAx>
      <c:valAx>
        <c:axId val="3435106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work orders 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4351027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- Trades Maintenance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9481205459959837E-2"/>
          <c:y val="0.1485505080726324"/>
          <c:w val="0.89436117666698312"/>
          <c:h val="0.662861006091157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Trades!$B$1</c:f>
              <c:strCache>
                <c:ptCount val="1"/>
                <c:pt idx="0">
                  <c:v>Created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Trades!$A$45:$A$57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Trades!$B$45:$B$57</c:f>
              <c:numCache>
                <c:formatCode>General</c:formatCode>
                <c:ptCount val="13"/>
                <c:pt idx="0">
                  <c:v>923</c:v>
                </c:pt>
                <c:pt idx="1">
                  <c:v>852</c:v>
                </c:pt>
                <c:pt idx="2">
                  <c:v>1000</c:v>
                </c:pt>
                <c:pt idx="3">
                  <c:v>769</c:v>
                </c:pt>
                <c:pt idx="4">
                  <c:v>657</c:v>
                </c:pt>
                <c:pt idx="5">
                  <c:v>824</c:v>
                </c:pt>
                <c:pt idx="6">
                  <c:v>829</c:v>
                </c:pt>
                <c:pt idx="7">
                  <c:v>871</c:v>
                </c:pt>
                <c:pt idx="8">
                  <c:v>645</c:v>
                </c:pt>
                <c:pt idx="9">
                  <c:v>702</c:v>
                </c:pt>
                <c:pt idx="10">
                  <c:v>722</c:v>
                </c:pt>
                <c:pt idx="11">
                  <c:v>662</c:v>
                </c:pt>
                <c:pt idx="12">
                  <c:v>944</c:v>
                </c:pt>
              </c:numCache>
            </c:numRef>
          </c:val>
        </c:ser>
        <c:ser>
          <c:idx val="3"/>
          <c:order val="3"/>
          <c:tx>
            <c:strRef>
              <c:f>Trades!$E$1</c:f>
              <c:strCache>
                <c:ptCount val="1"/>
                <c:pt idx="0">
                  <c:v>Finished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Trades!$A$45:$A$57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Trades!$E$45:$E$57</c:f>
              <c:numCache>
                <c:formatCode>0</c:formatCode>
                <c:ptCount val="13"/>
                <c:pt idx="0">
                  <c:v>800</c:v>
                </c:pt>
                <c:pt idx="1">
                  <c:v>742</c:v>
                </c:pt>
                <c:pt idx="2">
                  <c:v>792</c:v>
                </c:pt>
                <c:pt idx="3">
                  <c:v>719</c:v>
                </c:pt>
                <c:pt idx="4">
                  <c:v>689</c:v>
                </c:pt>
                <c:pt idx="5">
                  <c:v>699</c:v>
                </c:pt>
                <c:pt idx="6">
                  <c:v>788</c:v>
                </c:pt>
                <c:pt idx="7">
                  <c:v>762</c:v>
                </c:pt>
                <c:pt idx="8">
                  <c:v>632</c:v>
                </c:pt>
                <c:pt idx="9">
                  <c:v>569</c:v>
                </c:pt>
                <c:pt idx="10">
                  <c:v>655</c:v>
                </c:pt>
                <c:pt idx="11">
                  <c:v>552</c:v>
                </c:pt>
                <c:pt idx="12">
                  <c:v>734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645808"/>
        <c:axId val="194646200"/>
      </c:barChart>
      <c:lineChart>
        <c:grouping val="standard"/>
        <c:varyColors val="0"/>
        <c:ser>
          <c:idx val="1"/>
          <c:order val="1"/>
          <c:tx>
            <c:strRef>
              <c:f>Trades!$C$1</c:f>
              <c:strCache>
                <c:ptCount val="1"/>
                <c:pt idx="0">
                  <c:v>Backlog Goal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Trades!$A$45:$A$57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Trades!$C$45:$C$57</c:f>
              <c:numCache>
                <c:formatCode>General</c:formatCode>
                <c:ptCount val="13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  <c:pt idx="12">
                  <c:v>300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Trades!$D$1</c:f>
              <c:strCache>
                <c:ptCount val="1"/>
                <c:pt idx="0">
                  <c:v>Total Backlog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Trades!$A$45:$A$57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Trades!$D$45:$D$57</c:f>
              <c:numCache>
                <c:formatCode>0</c:formatCode>
                <c:ptCount val="13"/>
                <c:pt idx="0">
                  <c:v>616</c:v>
                </c:pt>
                <c:pt idx="1">
                  <c:v>704</c:v>
                </c:pt>
                <c:pt idx="2">
                  <c:v>866</c:v>
                </c:pt>
                <c:pt idx="3">
                  <c:v>789</c:v>
                </c:pt>
                <c:pt idx="4">
                  <c:v>801</c:v>
                </c:pt>
                <c:pt idx="5">
                  <c:v>835</c:v>
                </c:pt>
                <c:pt idx="6">
                  <c:v>709</c:v>
                </c:pt>
                <c:pt idx="7">
                  <c:v>761</c:v>
                </c:pt>
                <c:pt idx="8">
                  <c:v>726</c:v>
                </c:pt>
                <c:pt idx="9">
                  <c:v>834</c:v>
                </c:pt>
                <c:pt idx="10">
                  <c:v>851</c:v>
                </c:pt>
                <c:pt idx="11">
                  <c:v>933</c:v>
                </c:pt>
                <c:pt idx="12">
                  <c:v>996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Trades!$F$1</c:f>
              <c:strCache>
                <c:ptCount val="1"/>
                <c:pt idx="0">
                  <c:v>  Backlog &gt; 30 Days Old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Trades!$A$45:$A$57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Trades!$F$45:$F$57</c:f>
              <c:numCache>
                <c:formatCode>General</c:formatCode>
                <c:ptCount val="13"/>
                <c:pt idx="0">
                  <c:v>260</c:v>
                </c:pt>
                <c:pt idx="1">
                  <c:v>398</c:v>
                </c:pt>
                <c:pt idx="2">
                  <c:v>487</c:v>
                </c:pt>
                <c:pt idx="3">
                  <c:v>508</c:v>
                </c:pt>
                <c:pt idx="4">
                  <c:v>539</c:v>
                </c:pt>
                <c:pt idx="5">
                  <c:v>530</c:v>
                </c:pt>
                <c:pt idx="6">
                  <c:v>431</c:v>
                </c:pt>
                <c:pt idx="7">
                  <c:v>432</c:v>
                </c:pt>
                <c:pt idx="8">
                  <c:v>516</c:v>
                </c:pt>
                <c:pt idx="9">
                  <c:v>558</c:v>
                </c:pt>
                <c:pt idx="10">
                  <c:v>580</c:v>
                </c:pt>
                <c:pt idx="11">
                  <c:v>660</c:v>
                </c:pt>
                <c:pt idx="12">
                  <c:v>565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Trades!$G$1</c:f>
              <c:strCache>
                <c:ptCount val="1"/>
                <c:pt idx="0">
                  <c:v>Hold for Funds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Trades!$A$45:$A$57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Trades!$G$45:$G$57</c:f>
              <c:numCache>
                <c:formatCode>General</c:formatCode>
                <c:ptCount val="13"/>
                <c:pt idx="7">
                  <c:v>14</c:v>
                </c:pt>
                <c:pt idx="8">
                  <c:v>19</c:v>
                </c:pt>
                <c:pt idx="9">
                  <c:v>30</c:v>
                </c:pt>
                <c:pt idx="10">
                  <c:v>37</c:v>
                </c:pt>
                <c:pt idx="11">
                  <c:v>36</c:v>
                </c:pt>
                <c:pt idx="12">
                  <c:v>103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94645808"/>
        <c:axId val="194646200"/>
      </c:lineChart>
      <c:dateAx>
        <c:axId val="19464580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94646200"/>
        <c:crosses val="autoZero"/>
        <c:auto val="1"/>
        <c:lblOffset val="100"/>
        <c:baseTimeUnit val="months"/>
      </c:dateAx>
      <c:valAx>
        <c:axId val="194646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6458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6029843884057347E-2"/>
          <c:y val="0.93970463137996219"/>
          <c:w val="0.89999993138112622"/>
          <c:h val="6.0295409785933653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 Time</a:t>
            </a:r>
          </a:p>
          <a:p>
            <a:pPr>
              <a:defRPr/>
            </a:pPr>
            <a:r>
              <a:rPr lang="en-US"/>
              <a:t>TRADES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9810359266678588E-2"/>
          <c:y val="0.18183069070291707"/>
          <c:w val="0.90258454351210859"/>
          <c:h val="0.59873626850029782"/>
        </c:manualLayout>
      </c:layout>
      <c:lineChart>
        <c:grouping val="standard"/>
        <c:varyColors val="0"/>
        <c:ser>
          <c:idx val="0"/>
          <c:order val="0"/>
          <c:tx>
            <c:strRef>
              <c:f>Trades!$B$59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Trades!$A$105:$A$117</c:f>
              <c:numCache>
                <c:formatCode>mmm\-yy</c:formatCode>
                <c:ptCount val="13"/>
                <c:pt idx="0">
                  <c:v>42200</c:v>
                </c:pt>
                <c:pt idx="1">
                  <c:v>42217</c:v>
                </c:pt>
                <c:pt idx="2">
                  <c:v>42262</c:v>
                </c:pt>
                <c:pt idx="3">
                  <c:v>42292</c:v>
                </c:pt>
                <c:pt idx="4">
                  <c:v>42309</c:v>
                </c:pt>
                <c:pt idx="5">
                  <c:v>42339</c:v>
                </c:pt>
                <c:pt idx="6">
                  <c:v>42370</c:v>
                </c:pt>
                <c:pt idx="7">
                  <c:v>42401</c:v>
                </c:pt>
                <c:pt idx="8">
                  <c:v>42430</c:v>
                </c:pt>
                <c:pt idx="9">
                  <c:v>42461</c:v>
                </c:pt>
                <c:pt idx="10">
                  <c:v>42491</c:v>
                </c:pt>
                <c:pt idx="11">
                  <c:v>42522</c:v>
                </c:pt>
                <c:pt idx="12">
                  <c:v>42552</c:v>
                </c:pt>
              </c:numCache>
            </c:numRef>
          </c:cat>
          <c:val>
            <c:numRef>
              <c:f>Trades!$B$105:$B$117</c:f>
              <c:numCache>
                <c:formatCode>0%</c:formatCode>
                <c:ptCount val="13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Trades!$E$59</c:f>
              <c:strCache>
                <c:ptCount val="1"/>
                <c:pt idx="0">
                  <c:v>Actual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Trades!$A$105:$A$117</c:f>
              <c:numCache>
                <c:formatCode>mmm\-yy</c:formatCode>
                <c:ptCount val="13"/>
                <c:pt idx="0">
                  <c:v>42200</c:v>
                </c:pt>
                <c:pt idx="1">
                  <c:v>42217</c:v>
                </c:pt>
                <c:pt idx="2">
                  <c:v>42262</c:v>
                </c:pt>
                <c:pt idx="3">
                  <c:v>42292</c:v>
                </c:pt>
                <c:pt idx="4">
                  <c:v>42309</c:v>
                </c:pt>
                <c:pt idx="5">
                  <c:v>42339</c:v>
                </c:pt>
                <c:pt idx="6">
                  <c:v>42370</c:v>
                </c:pt>
                <c:pt idx="7">
                  <c:v>42401</c:v>
                </c:pt>
                <c:pt idx="8">
                  <c:v>42430</c:v>
                </c:pt>
                <c:pt idx="9">
                  <c:v>42461</c:v>
                </c:pt>
                <c:pt idx="10">
                  <c:v>42491</c:v>
                </c:pt>
                <c:pt idx="11">
                  <c:v>42522</c:v>
                </c:pt>
                <c:pt idx="12">
                  <c:v>42552</c:v>
                </c:pt>
              </c:numCache>
            </c:numRef>
          </c:cat>
          <c:val>
            <c:numRef>
              <c:f>Trades!$E$105:$E$117</c:f>
              <c:numCache>
                <c:formatCode>0%</c:formatCode>
                <c:ptCount val="13"/>
                <c:pt idx="0">
                  <c:v>0.78975032851511173</c:v>
                </c:pt>
                <c:pt idx="1">
                  <c:v>0.80384615384615388</c:v>
                </c:pt>
                <c:pt idx="2">
                  <c:v>0.81215469613259672</c:v>
                </c:pt>
                <c:pt idx="3">
                  <c:v>0.8485237483953787</c:v>
                </c:pt>
                <c:pt idx="4">
                  <c:v>0.77521613832853031</c:v>
                </c:pt>
                <c:pt idx="5">
                  <c:v>0.73199329983249584</c:v>
                </c:pt>
                <c:pt idx="6">
                  <c:v>0.77110157367668097</c:v>
                </c:pt>
                <c:pt idx="7">
                  <c:v>0.78089171974522298</c:v>
                </c:pt>
                <c:pt idx="8">
                  <c:v>0.79177718832891242</c:v>
                </c:pt>
                <c:pt idx="9">
                  <c:v>0.819620253164557</c:v>
                </c:pt>
                <c:pt idx="10">
                  <c:v>0.81481481481481477</c:v>
                </c:pt>
                <c:pt idx="11">
                  <c:v>0.76146788990825687</c:v>
                </c:pt>
                <c:pt idx="12">
                  <c:v>0.80181818181818176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46984"/>
        <c:axId val="194647376"/>
      </c:lineChart>
      <c:dateAx>
        <c:axId val="19464698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94647376"/>
        <c:crosses val="autoZero"/>
        <c:auto val="1"/>
        <c:lblOffset val="100"/>
        <c:baseTimeUnit val="months"/>
      </c:dateAx>
      <c:valAx>
        <c:axId val="194647376"/>
        <c:scaling>
          <c:orientation val="minMax"/>
          <c:min val="0.65000000000000013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94646984"/>
        <c:crosses val="autoZero"/>
        <c:crossBetween val="between"/>
        <c:majorUnit val="5.000000000000001E-2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Trades Maintenance Backlog - Age Distribution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Trades!$B$143</c:f>
              <c:strCache>
                <c:ptCount val="1"/>
                <c:pt idx="0">
                  <c:v>Total #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Trades!$A$182:$A$194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Trades!$B$182:$B$194</c:f>
              <c:numCache>
                <c:formatCode>General</c:formatCode>
                <c:ptCount val="13"/>
                <c:pt idx="0">
                  <c:v>616</c:v>
                </c:pt>
                <c:pt idx="1">
                  <c:v>704</c:v>
                </c:pt>
                <c:pt idx="2">
                  <c:v>866</c:v>
                </c:pt>
                <c:pt idx="3">
                  <c:v>789</c:v>
                </c:pt>
                <c:pt idx="4">
                  <c:v>801</c:v>
                </c:pt>
                <c:pt idx="5">
                  <c:v>835</c:v>
                </c:pt>
                <c:pt idx="6">
                  <c:v>709</c:v>
                </c:pt>
                <c:pt idx="7">
                  <c:v>761</c:v>
                </c:pt>
                <c:pt idx="8">
                  <c:v>726</c:v>
                </c:pt>
                <c:pt idx="9">
                  <c:v>834</c:v>
                </c:pt>
                <c:pt idx="10">
                  <c:v>851</c:v>
                </c:pt>
                <c:pt idx="11">
                  <c:v>933</c:v>
                </c:pt>
                <c:pt idx="12">
                  <c:v>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Trades!$C$143</c:f>
              <c:strCache>
                <c:ptCount val="1"/>
                <c:pt idx="0">
                  <c:v>&lt; 30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Trades!$A$182:$A$194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Trades!$C$182:$C$194</c:f>
              <c:numCache>
                <c:formatCode>General</c:formatCode>
                <c:ptCount val="13"/>
                <c:pt idx="0">
                  <c:v>356</c:v>
                </c:pt>
                <c:pt idx="1">
                  <c:v>306</c:v>
                </c:pt>
                <c:pt idx="2">
                  <c:v>379</c:v>
                </c:pt>
                <c:pt idx="3">
                  <c:v>281</c:v>
                </c:pt>
                <c:pt idx="4">
                  <c:v>262</c:v>
                </c:pt>
                <c:pt idx="5">
                  <c:v>305</c:v>
                </c:pt>
                <c:pt idx="6">
                  <c:v>278</c:v>
                </c:pt>
                <c:pt idx="7">
                  <c:v>329</c:v>
                </c:pt>
                <c:pt idx="8">
                  <c:v>210</c:v>
                </c:pt>
                <c:pt idx="9">
                  <c:v>276</c:v>
                </c:pt>
                <c:pt idx="10">
                  <c:v>271</c:v>
                </c:pt>
                <c:pt idx="11">
                  <c:v>273</c:v>
                </c:pt>
                <c:pt idx="12">
                  <c:v>431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Trades!$D$143</c:f>
              <c:strCache>
                <c:ptCount val="1"/>
                <c:pt idx="0">
                  <c:v>31-60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Trades!$A$182:$A$194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Trades!$D$182:$D$194</c:f>
              <c:numCache>
                <c:formatCode>General</c:formatCode>
                <c:ptCount val="13"/>
                <c:pt idx="0">
                  <c:v>105</c:v>
                </c:pt>
                <c:pt idx="1">
                  <c:v>186</c:v>
                </c:pt>
                <c:pt idx="2">
                  <c:v>171</c:v>
                </c:pt>
                <c:pt idx="3">
                  <c:v>138</c:v>
                </c:pt>
                <c:pt idx="4">
                  <c:v>120</c:v>
                </c:pt>
                <c:pt idx="5">
                  <c:v>86</c:v>
                </c:pt>
                <c:pt idx="6">
                  <c:v>104</c:v>
                </c:pt>
                <c:pt idx="7">
                  <c:v>102</c:v>
                </c:pt>
                <c:pt idx="8">
                  <c:v>138</c:v>
                </c:pt>
                <c:pt idx="9">
                  <c:v>102</c:v>
                </c:pt>
                <c:pt idx="10">
                  <c:v>84</c:v>
                </c:pt>
                <c:pt idx="11">
                  <c:v>118</c:v>
                </c:pt>
                <c:pt idx="12">
                  <c:v>89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Trades!$E$143</c:f>
              <c:strCache>
                <c:ptCount val="1"/>
                <c:pt idx="0">
                  <c:v>61-90 Days 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Trades!$A$182:$A$194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Trades!$E$182:$E$194</c:f>
              <c:numCache>
                <c:formatCode>General</c:formatCode>
                <c:ptCount val="13"/>
                <c:pt idx="0">
                  <c:v>62</c:v>
                </c:pt>
                <c:pt idx="1">
                  <c:v>75</c:v>
                </c:pt>
                <c:pt idx="2">
                  <c:v>140</c:v>
                </c:pt>
                <c:pt idx="3">
                  <c:v>95</c:v>
                </c:pt>
                <c:pt idx="4">
                  <c:v>83</c:v>
                </c:pt>
                <c:pt idx="5">
                  <c:v>82</c:v>
                </c:pt>
                <c:pt idx="6">
                  <c:v>61</c:v>
                </c:pt>
                <c:pt idx="7">
                  <c:v>54</c:v>
                </c:pt>
                <c:pt idx="8">
                  <c:v>68</c:v>
                </c:pt>
                <c:pt idx="9">
                  <c:v>95</c:v>
                </c:pt>
                <c:pt idx="10">
                  <c:v>64</c:v>
                </c:pt>
                <c:pt idx="11">
                  <c:v>66</c:v>
                </c:pt>
                <c:pt idx="12">
                  <c:v>71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Trades!$F$143</c:f>
              <c:strCache>
                <c:ptCount val="1"/>
                <c:pt idx="0">
                  <c:v>91-180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Trades!$A$182:$A$194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Trades!$F$182:$F$194</c:f>
              <c:numCache>
                <c:formatCode>General</c:formatCode>
                <c:ptCount val="13"/>
                <c:pt idx="0">
                  <c:v>69</c:v>
                </c:pt>
                <c:pt idx="1">
                  <c:v>105</c:v>
                </c:pt>
                <c:pt idx="2">
                  <c:v>130</c:v>
                </c:pt>
                <c:pt idx="3">
                  <c:v>216</c:v>
                </c:pt>
                <c:pt idx="4">
                  <c:v>245</c:v>
                </c:pt>
                <c:pt idx="5">
                  <c:v>230</c:v>
                </c:pt>
                <c:pt idx="6">
                  <c:v>128</c:v>
                </c:pt>
                <c:pt idx="7">
                  <c:v>119</c:v>
                </c:pt>
                <c:pt idx="8">
                  <c:v>129</c:v>
                </c:pt>
                <c:pt idx="9">
                  <c:v>136</c:v>
                </c:pt>
                <c:pt idx="10">
                  <c:v>180</c:v>
                </c:pt>
                <c:pt idx="11">
                  <c:v>182</c:v>
                </c:pt>
                <c:pt idx="12">
                  <c:v>158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Trades!$G$143</c:f>
              <c:strCache>
                <c:ptCount val="1"/>
                <c:pt idx="0">
                  <c:v>181-365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Trades!$A$182:$A$194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Trades!$G$182:$G$194</c:f>
              <c:numCache>
                <c:formatCode>General</c:formatCode>
                <c:ptCount val="13"/>
                <c:pt idx="0">
                  <c:v>24</c:v>
                </c:pt>
                <c:pt idx="1">
                  <c:v>31</c:v>
                </c:pt>
                <c:pt idx="2">
                  <c:v>43</c:v>
                </c:pt>
                <c:pt idx="3">
                  <c:v>56</c:v>
                </c:pt>
                <c:pt idx="4">
                  <c:v>88</c:v>
                </c:pt>
                <c:pt idx="5">
                  <c:v>129</c:v>
                </c:pt>
                <c:pt idx="6">
                  <c:v>133</c:v>
                </c:pt>
                <c:pt idx="7">
                  <c:v>149</c:v>
                </c:pt>
                <c:pt idx="8">
                  <c:v>169</c:v>
                </c:pt>
                <c:pt idx="9">
                  <c:v>201</c:v>
                </c:pt>
                <c:pt idx="10">
                  <c:v>206</c:v>
                </c:pt>
                <c:pt idx="11">
                  <c:v>226</c:v>
                </c:pt>
                <c:pt idx="12">
                  <c:v>147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Trades!$H$143</c:f>
              <c:strCache>
                <c:ptCount val="1"/>
                <c:pt idx="0">
                  <c:v>&gt;365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Trades!$A$182:$A$194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Trades!$H$182:$H$194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8</c:v>
                </c:pt>
                <c:pt idx="8">
                  <c:v>12</c:v>
                </c:pt>
                <c:pt idx="9">
                  <c:v>24</c:v>
                </c:pt>
                <c:pt idx="10">
                  <c:v>46</c:v>
                </c:pt>
                <c:pt idx="11">
                  <c:v>68</c:v>
                </c:pt>
                <c:pt idx="12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48160"/>
        <c:axId val="194648552"/>
      </c:lineChart>
      <c:dateAx>
        <c:axId val="194648160"/>
        <c:scaling>
          <c:orientation val="minMax"/>
        </c:scaling>
        <c:delete val="1"/>
        <c:axPos val="b"/>
        <c:numFmt formatCode="mmm\-yy" sourceLinked="1"/>
        <c:majorTickMark val="none"/>
        <c:minorTickMark val="none"/>
        <c:tickLblPos val="nextTo"/>
        <c:crossAx val="194648552"/>
        <c:crosses val="autoZero"/>
        <c:auto val="1"/>
        <c:lblOffset val="100"/>
        <c:baseTimeUnit val="months"/>
      </c:dateAx>
      <c:valAx>
        <c:axId val="1946485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work orders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464816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Trades!$U$1</c:f>
              <c:strCache>
                <c:ptCount val="1"/>
                <c:pt idx="0">
                  <c:v>5-Week Moving Average Created</c:v>
                </c:pt>
              </c:strCache>
            </c:strRef>
          </c:tx>
          <c:cat>
            <c:numRef>
              <c:f>Trades!$T$2:$T$42</c:f>
              <c:numCache>
                <c:formatCode>mmm\-yy</c:formatCode>
                <c:ptCount val="1"/>
                <c:pt idx="0">
                  <c:v>42125</c:v>
                </c:pt>
              </c:numCache>
            </c:numRef>
          </c:cat>
          <c:val>
            <c:numRef>
              <c:f>Trades!$U$3:$U$42</c:f>
              <c:numCache>
                <c:formatCode>0</c:formatCode>
                <c:ptCount val="1"/>
                <c:pt idx="0">
                  <c:v>955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Trades!$V$1</c:f>
              <c:strCache>
                <c:ptCount val="1"/>
                <c:pt idx="0">
                  <c:v>5-Week Moving Average Finished</c:v>
                </c:pt>
              </c:strCache>
            </c:strRef>
          </c:tx>
          <c:cat>
            <c:numRef>
              <c:f>Trades!$T$2:$T$42</c:f>
              <c:numCache>
                <c:formatCode>mmm\-yy</c:formatCode>
                <c:ptCount val="1"/>
                <c:pt idx="0">
                  <c:v>42125</c:v>
                </c:pt>
              </c:numCache>
            </c:numRef>
          </c:cat>
          <c:val>
            <c:numRef>
              <c:f>Trades!$V$2:$V$42</c:f>
              <c:numCache>
                <c:formatCode>0</c:formatCode>
                <c:ptCount val="1"/>
                <c:pt idx="0">
                  <c:v>872.8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669360"/>
        <c:axId val="344669752"/>
      </c:lineChart>
      <c:dateAx>
        <c:axId val="34466936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344669752"/>
        <c:crosses val="autoZero"/>
        <c:auto val="1"/>
        <c:lblOffset val="100"/>
        <c:baseTimeUnit val="months"/>
      </c:dateAx>
      <c:valAx>
        <c:axId val="344669752"/>
        <c:scaling>
          <c:orientation val="minMax"/>
          <c:min val="75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344669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>
                <a:effectLst/>
              </a:rPr>
              <a:t>Curb Appeal IV - Project % Complete Per Week</a:t>
            </a:r>
            <a:endParaRPr lang="en-US">
              <a:effectLst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8.5938845037781167E-2"/>
          <c:y val="0.12464485310665414"/>
          <c:w val="0.87967451765280247"/>
          <c:h val="0.73470214545074775"/>
        </c:manualLayout>
      </c:layout>
      <c:lineChart>
        <c:grouping val="standard"/>
        <c:varyColors val="0"/>
        <c:ser>
          <c:idx val="0"/>
          <c:order val="0"/>
          <c:tx>
            <c:strRef>
              <c:f>'Curb Appeal III &amp; IV'!$F$2</c:f>
              <c:strCache>
                <c:ptCount val="1"/>
                <c:pt idx="0">
                  <c:v>Curb Appeal IV Project % complete per week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'Curb Appeal III &amp; IV'!$E$3:$E$39</c:f>
              <c:numCache>
                <c:formatCode>m/d/yy;@</c:formatCode>
                <c:ptCount val="37"/>
                <c:pt idx="0">
                  <c:v>41876</c:v>
                </c:pt>
                <c:pt idx="1">
                  <c:v>41883</c:v>
                </c:pt>
                <c:pt idx="2">
                  <c:v>41890</c:v>
                </c:pt>
                <c:pt idx="3">
                  <c:v>41897</c:v>
                </c:pt>
                <c:pt idx="4">
                  <c:v>41904</c:v>
                </c:pt>
                <c:pt idx="5">
                  <c:v>41911</c:v>
                </c:pt>
                <c:pt idx="6">
                  <c:v>41918</c:v>
                </c:pt>
                <c:pt idx="7">
                  <c:v>41925</c:v>
                </c:pt>
                <c:pt idx="8">
                  <c:v>41932</c:v>
                </c:pt>
                <c:pt idx="9">
                  <c:v>41939</c:v>
                </c:pt>
                <c:pt idx="10">
                  <c:v>41946</c:v>
                </c:pt>
                <c:pt idx="11">
                  <c:v>41953</c:v>
                </c:pt>
                <c:pt idx="12">
                  <c:v>41960</c:v>
                </c:pt>
                <c:pt idx="13">
                  <c:v>41967</c:v>
                </c:pt>
                <c:pt idx="14">
                  <c:v>41974</c:v>
                </c:pt>
                <c:pt idx="15">
                  <c:v>41981</c:v>
                </c:pt>
                <c:pt idx="16">
                  <c:v>41988</c:v>
                </c:pt>
                <c:pt idx="17">
                  <c:v>41995</c:v>
                </c:pt>
                <c:pt idx="18">
                  <c:v>42002</c:v>
                </c:pt>
                <c:pt idx="19">
                  <c:v>42009</c:v>
                </c:pt>
                <c:pt idx="20">
                  <c:v>42016</c:v>
                </c:pt>
                <c:pt idx="21">
                  <c:v>42023</c:v>
                </c:pt>
                <c:pt idx="22">
                  <c:v>42030</c:v>
                </c:pt>
                <c:pt idx="23">
                  <c:v>42037</c:v>
                </c:pt>
                <c:pt idx="24">
                  <c:v>42044</c:v>
                </c:pt>
                <c:pt idx="25">
                  <c:v>42051</c:v>
                </c:pt>
                <c:pt idx="26">
                  <c:v>42058</c:v>
                </c:pt>
                <c:pt idx="27">
                  <c:v>42065</c:v>
                </c:pt>
                <c:pt idx="28">
                  <c:v>42072</c:v>
                </c:pt>
                <c:pt idx="29">
                  <c:v>42079</c:v>
                </c:pt>
                <c:pt idx="30">
                  <c:v>42086</c:v>
                </c:pt>
                <c:pt idx="31">
                  <c:v>42093</c:v>
                </c:pt>
                <c:pt idx="32">
                  <c:v>42100</c:v>
                </c:pt>
                <c:pt idx="33">
                  <c:v>42107</c:v>
                </c:pt>
                <c:pt idx="34">
                  <c:v>42114</c:v>
                </c:pt>
                <c:pt idx="35">
                  <c:v>42121</c:v>
                </c:pt>
                <c:pt idx="36">
                  <c:v>42128</c:v>
                </c:pt>
              </c:numCache>
            </c:numRef>
          </c:cat>
          <c:val>
            <c:numRef>
              <c:f>'Curb Appeal III &amp; IV'!$F$3:$F$39</c:f>
              <c:numCache>
                <c:formatCode>0%</c:formatCode>
                <c:ptCount val="37"/>
                <c:pt idx="0">
                  <c:v>0</c:v>
                </c:pt>
                <c:pt idx="1">
                  <c:v>0.09</c:v>
                </c:pt>
                <c:pt idx="2">
                  <c:v>0.19</c:v>
                </c:pt>
                <c:pt idx="3">
                  <c:v>0.19</c:v>
                </c:pt>
                <c:pt idx="4">
                  <c:v>0.26</c:v>
                </c:pt>
                <c:pt idx="5">
                  <c:v>0.26</c:v>
                </c:pt>
                <c:pt idx="6">
                  <c:v>0.31</c:v>
                </c:pt>
                <c:pt idx="7">
                  <c:v>0.37</c:v>
                </c:pt>
                <c:pt idx="8">
                  <c:v>0.37</c:v>
                </c:pt>
                <c:pt idx="9">
                  <c:v>0.37</c:v>
                </c:pt>
                <c:pt idx="10">
                  <c:v>0.43</c:v>
                </c:pt>
                <c:pt idx="11">
                  <c:v>0.43</c:v>
                </c:pt>
                <c:pt idx="12">
                  <c:v>0.48</c:v>
                </c:pt>
                <c:pt idx="13">
                  <c:v>0.54</c:v>
                </c:pt>
                <c:pt idx="14">
                  <c:v>0.56000000000000005</c:v>
                </c:pt>
                <c:pt idx="15">
                  <c:v>0.57999999999999996</c:v>
                </c:pt>
                <c:pt idx="16">
                  <c:v>0.71</c:v>
                </c:pt>
                <c:pt idx="23">
                  <c:v>0.79</c:v>
                </c:pt>
                <c:pt idx="24">
                  <c:v>0.82</c:v>
                </c:pt>
                <c:pt idx="25">
                  <c:v>0.84</c:v>
                </c:pt>
                <c:pt idx="26">
                  <c:v>0.85</c:v>
                </c:pt>
                <c:pt idx="27">
                  <c:v>0.88</c:v>
                </c:pt>
                <c:pt idx="28">
                  <c:v>0.92</c:v>
                </c:pt>
                <c:pt idx="29">
                  <c:v>0.92</c:v>
                </c:pt>
                <c:pt idx="30">
                  <c:v>0.94</c:v>
                </c:pt>
                <c:pt idx="35">
                  <c:v>0.96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'Curb Appeal III &amp; IV'!$G$2</c:f>
              <c:strCache>
                <c:ptCount val="1"/>
                <c:pt idx="0">
                  <c:v>Goal</c:v>
                </c:pt>
              </c:strCache>
            </c:strRef>
          </c:tx>
          <c:marker>
            <c:symbol val="none"/>
          </c:marker>
          <c:cat>
            <c:numRef>
              <c:f>'Curb Appeal III &amp; IV'!$E$3:$E$39</c:f>
              <c:numCache>
                <c:formatCode>m/d/yy;@</c:formatCode>
                <c:ptCount val="37"/>
                <c:pt idx="0">
                  <c:v>41876</c:v>
                </c:pt>
                <c:pt idx="1">
                  <c:v>41883</c:v>
                </c:pt>
                <c:pt idx="2">
                  <c:v>41890</c:v>
                </c:pt>
                <c:pt idx="3">
                  <c:v>41897</c:v>
                </c:pt>
                <c:pt idx="4">
                  <c:v>41904</c:v>
                </c:pt>
                <c:pt idx="5">
                  <c:v>41911</c:v>
                </c:pt>
                <c:pt idx="6">
                  <c:v>41918</c:v>
                </c:pt>
                <c:pt idx="7">
                  <c:v>41925</c:v>
                </c:pt>
                <c:pt idx="8">
                  <c:v>41932</c:v>
                </c:pt>
                <c:pt idx="9">
                  <c:v>41939</c:v>
                </c:pt>
                <c:pt idx="10">
                  <c:v>41946</c:v>
                </c:pt>
                <c:pt idx="11">
                  <c:v>41953</c:v>
                </c:pt>
                <c:pt idx="12">
                  <c:v>41960</c:v>
                </c:pt>
                <c:pt idx="13">
                  <c:v>41967</c:v>
                </c:pt>
                <c:pt idx="14">
                  <c:v>41974</c:v>
                </c:pt>
                <c:pt idx="15">
                  <c:v>41981</c:v>
                </c:pt>
                <c:pt idx="16">
                  <c:v>41988</c:v>
                </c:pt>
                <c:pt idx="17">
                  <c:v>41995</c:v>
                </c:pt>
                <c:pt idx="18">
                  <c:v>42002</c:v>
                </c:pt>
                <c:pt idx="19">
                  <c:v>42009</c:v>
                </c:pt>
                <c:pt idx="20">
                  <c:v>42016</c:v>
                </c:pt>
                <c:pt idx="21">
                  <c:v>42023</c:v>
                </c:pt>
                <c:pt idx="22">
                  <c:v>42030</c:v>
                </c:pt>
                <c:pt idx="23">
                  <c:v>42037</c:v>
                </c:pt>
                <c:pt idx="24">
                  <c:v>42044</c:v>
                </c:pt>
                <c:pt idx="25">
                  <c:v>42051</c:v>
                </c:pt>
                <c:pt idx="26">
                  <c:v>42058</c:v>
                </c:pt>
                <c:pt idx="27">
                  <c:v>42065</c:v>
                </c:pt>
                <c:pt idx="28">
                  <c:v>42072</c:v>
                </c:pt>
                <c:pt idx="29">
                  <c:v>42079</c:v>
                </c:pt>
                <c:pt idx="30">
                  <c:v>42086</c:v>
                </c:pt>
                <c:pt idx="31">
                  <c:v>42093</c:v>
                </c:pt>
                <c:pt idx="32">
                  <c:v>42100</c:v>
                </c:pt>
                <c:pt idx="33">
                  <c:v>42107</c:v>
                </c:pt>
                <c:pt idx="34">
                  <c:v>42114</c:v>
                </c:pt>
                <c:pt idx="35">
                  <c:v>42121</c:v>
                </c:pt>
                <c:pt idx="36">
                  <c:v>42128</c:v>
                </c:pt>
              </c:numCache>
            </c:numRef>
          </c:cat>
          <c:val>
            <c:numRef>
              <c:f>'Curb Appeal III &amp; IV'!$G$3:$G$39</c:f>
              <c:numCache>
                <c:formatCode>0%</c:formatCode>
                <c:ptCount val="37"/>
                <c:pt idx="0">
                  <c:v>0</c:v>
                </c:pt>
                <c:pt idx="1">
                  <c:v>0.03</c:v>
                </c:pt>
                <c:pt idx="2">
                  <c:v>0.06</c:v>
                </c:pt>
                <c:pt idx="3">
                  <c:v>0.09</c:v>
                </c:pt>
                <c:pt idx="4">
                  <c:v>0.12</c:v>
                </c:pt>
                <c:pt idx="5">
                  <c:v>0.15</c:v>
                </c:pt>
                <c:pt idx="6">
                  <c:v>0.18</c:v>
                </c:pt>
                <c:pt idx="7">
                  <c:v>0.21</c:v>
                </c:pt>
                <c:pt idx="8">
                  <c:v>0.24</c:v>
                </c:pt>
                <c:pt idx="9">
                  <c:v>0.27</c:v>
                </c:pt>
                <c:pt idx="10">
                  <c:v>0.30000000000000004</c:v>
                </c:pt>
                <c:pt idx="11">
                  <c:v>0.33000000000000007</c:v>
                </c:pt>
                <c:pt idx="12">
                  <c:v>0.3600000000000001</c:v>
                </c:pt>
                <c:pt idx="13">
                  <c:v>0.39000000000000012</c:v>
                </c:pt>
                <c:pt idx="14">
                  <c:v>0.42000000000000015</c:v>
                </c:pt>
                <c:pt idx="15">
                  <c:v>0.45000000000000018</c:v>
                </c:pt>
                <c:pt idx="16">
                  <c:v>0.4800000000000002</c:v>
                </c:pt>
                <c:pt idx="17">
                  <c:v>0.51000000000000023</c:v>
                </c:pt>
                <c:pt idx="18">
                  <c:v>0.54000000000000026</c:v>
                </c:pt>
                <c:pt idx="19">
                  <c:v>0.57000000000000028</c:v>
                </c:pt>
                <c:pt idx="20">
                  <c:v>0.60000000000000031</c:v>
                </c:pt>
                <c:pt idx="21">
                  <c:v>0.63000000000000034</c:v>
                </c:pt>
                <c:pt idx="22">
                  <c:v>0.66000000000000036</c:v>
                </c:pt>
                <c:pt idx="23">
                  <c:v>0.69000000000000039</c:v>
                </c:pt>
                <c:pt idx="24">
                  <c:v>0.72000000000000042</c:v>
                </c:pt>
                <c:pt idx="25">
                  <c:v>0.75000000000000044</c:v>
                </c:pt>
                <c:pt idx="26">
                  <c:v>0.78000000000000047</c:v>
                </c:pt>
                <c:pt idx="27">
                  <c:v>0.8100000000000005</c:v>
                </c:pt>
                <c:pt idx="28">
                  <c:v>0.84000000000000052</c:v>
                </c:pt>
                <c:pt idx="29">
                  <c:v>0.87000000000000055</c:v>
                </c:pt>
                <c:pt idx="30">
                  <c:v>0.90000000000000058</c:v>
                </c:pt>
                <c:pt idx="31">
                  <c:v>0.9300000000000006</c:v>
                </c:pt>
                <c:pt idx="32">
                  <c:v>0.96000000000000063</c:v>
                </c:pt>
                <c:pt idx="33">
                  <c:v>0.99000000000000066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240744"/>
        <c:axId val="193200936"/>
      </c:lineChart>
      <c:dateAx>
        <c:axId val="142240744"/>
        <c:scaling>
          <c:orientation val="minMax"/>
        </c:scaling>
        <c:delete val="0"/>
        <c:axPos val="b"/>
        <c:numFmt formatCode="m/d/yy;@" sourceLinked="1"/>
        <c:majorTickMark val="out"/>
        <c:minorTickMark val="none"/>
        <c:tickLblPos val="nextTo"/>
        <c:crossAx val="193200936"/>
        <c:crosses val="autoZero"/>
        <c:auto val="1"/>
        <c:lblOffset val="100"/>
        <c:baseTimeUnit val="days"/>
      </c:dateAx>
      <c:valAx>
        <c:axId val="193200936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</a:t>
                </a:r>
                <a:r>
                  <a:rPr lang="en-US" baseline="0"/>
                  <a:t> Complete</a:t>
                </a:r>
                <a:endParaRPr lang="en-US"/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42240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21077798125346"/>
          <c:y val="0.70028496789011008"/>
          <c:w val="0.2794176197174803"/>
          <c:h val="8.0667304667103742E-2"/>
        </c:manualLayout>
      </c:layout>
      <c:overlay val="0"/>
    </c:legend>
    <c:plotVisOnly val="1"/>
    <c:dispBlanksAs val="span"/>
    <c:showDLblsOverMax val="0"/>
  </c:chart>
  <c:printSettings>
    <c:headerFooter/>
    <c:pageMargins b="0.75" l="0.25" r="0.25" t="0.75" header="0.3" footer="0.3"/>
    <c:pageSetup orientation="landscape"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PM Analysis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7.9165941794174743E-2"/>
          <c:y val="0.14515424264150212"/>
          <c:w val="0.70674382936094449"/>
          <c:h val="0.73633512158653369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'PM3'!$E$2</c:f>
              <c:strCache>
                <c:ptCount val="1"/>
                <c:pt idx="0">
                  <c:v>Work Not Done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'PM3'!$A$17:$A$29</c:f>
              <c:numCache>
                <c:formatCode>[$-409]mmm\-yy;@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42353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'PM3'!$E$17:$E$29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14</c:v>
                </c:pt>
                <c:pt idx="6">
                  <c:v>6</c:v>
                </c:pt>
                <c:pt idx="7">
                  <c:v>3</c:v>
                </c:pt>
                <c:pt idx="8">
                  <c:v>0</c:v>
                </c:pt>
                <c:pt idx="9">
                  <c:v>69</c:v>
                </c:pt>
                <c:pt idx="10">
                  <c:v>56</c:v>
                </c:pt>
                <c:pt idx="11">
                  <c:v>6</c:v>
                </c:pt>
                <c:pt idx="12">
                  <c:v>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670536"/>
        <c:axId val="344670928"/>
      </c:barChart>
      <c:lineChart>
        <c:grouping val="standard"/>
        <c:varyColors val="0"/>
        <c:ser>
          <c:idx val="0"/>
          <c:order val="0"/>
          <c:tx>
            <c:strRef>
              <c:f>'PM3'!$B$2</c:f>
              <c:strCache>
                <c:ptCount val="1"/>
                <c:pt idx="0">
                  <c:v>80%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'PM3'!$A$17:$A$29</c:f>
              <c:numCache>
                <c:formatCode>[$-409]mmm\-yy;@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42353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'PM3'!$B$17:$B$29</c:f>
              <c:numCache>
                <c:formatCode>0</c:formatCode>
                <c:ptCount val="13"/>
                <c:pt idx="0">
                  <c:v>70</c:v>
                </c:pt>
                <c:pt idx="1">
                  <c:v>60</c:v>
                </c:pt>
                <c:pt idx="2">
                  <c:v>67</c:v>
                </c:pt>
                <c:pt idx="3">
                  <c:v>69</c:v>
                </c:pt>
                <c:pt idx="4">
                  <c:v>57</c:v>
                </c:pt>
                <c:pt idx="5">
                  <c:v>58</c:v>
                </c:pt>
                <c:pt idx="6">
                  <c:v>61</c:v>
                </c:pt>
                <c:pt idx="7">
                  <c:v>65</c:v>
                </c:pt>
                <c:pt idx="8">
                  <c:v>56</c:v>
                </c:pt>
                <c:pt idx="9">
                  <c:v>50</c:v>
                </c:pt>
                <c:pt idx="10">
                  <c:v>53</c:v>
                </c:pt>
                <c:pt idx="11">
                  <c:v>54</c:v>
                </c:pt>
                <c:pt idx="12">
                  <c:v>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'PM3'!$C$2</c:f>
              <c:strCache>
                <c:ptCount val="1"/>
                <c:pt idx="0">
                  <c:v>95%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'PM3'!$A$17:$A$29</c:f>
              <c:numCache>
                <c:formatCode>[$-409]mmm\-yy;@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42353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'PM3'!$C$17:$C$28</c:f>
              <c:numCache>
                <c:formatCode>0</c:formatCode>
                <c:ptCount val="12"/>
                <c:pt idx="0">
                  <c:v>79</c:v>
                </c:pt>
                <c:pt idx="1">
                  <c:v>70</c:v>
                </c:pt>
                <c:pt idx="2">
                  <c:v>77</c:v>
                </c:pt>
                <c:pt idx="3">
                  <c:v>78</c:v>
                </c:pt>
                <c:pt idx="4">
                  <c:v>82</c:v>
                </c:pt>
                <c:pt idx="5">
                  <c:v>78</c:v>
                </c:pt>
                <c:pt idx="6">
                  <c:v>67</c:v>
                </c:pt>
                <c:pt idx="7">
                  <c:v>73</c:v>
                </c:pt>
                <c:pt idx="8">
                  <c:v>67</c:v>
                </c:pt>
                <c:pt idx="9">
                  <c:v>64</c:v>
                </c:pt>
                <c:pt idx="10">
                  <c:v>59</c:v>
                </c:pt>
                <c:pt idx="11">
                  <c:v>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'PM3'!$D$2</c:f>
              <c:strCache>
                <c:ptCount val="1"/>
                <c:pt idx="0">
                  <c:v>100%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'PM3'!$A$17:$A$29</c:f>
              <c:numCache>
                <c:formatCode>[$-409]mmm\-yy;@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42353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'PM3'!$D$17:$D$27</c:f>
              <c:numCache>
                <c:formatCode>0</c:formatCode>
                <c:ptCount val="11"/>
                <c:pt idx="0">
                  <c:v>88</c:v>
                </c:pt>
                <c:pt idx="1">
                  <c:v>86</c:v>
                </c:pt>
                <c:pt idx="2">
                  <c:v>79</c:v>
                </c:pt>
                <c:pt idx="3">
                  <c:v>92</c:v>
                </c:pt>
                <c:pt idx="4">
                  <c:v>93</c:v>
                </c:pt>
                <c:pt idx="5">
                  <c:v>85</c:v>
                </c:pt>
                <c:pt idx="6">
                  <c:v>68</c:v>
                </c:pt>
                <c:pt idx="7">
                  <c:v>76</c:v>
                </c:pt>
                <c:pt idx="8">
                  <c:v>69</c:v>
                </c:pt>
                <c:pt idx="9">
                  <c:v>65</c:v>
                </c:pt>
                <c:pt idx="10">
                  <c:v>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670536"/>
        <c:axId val="344670928"/>
      </c:lineChart>
      <c:dateAx>
        <c:axId val="344670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layout/>
          <c:overlay val="0"/>
        </c:title>
        <c:numFmt formatCode="[$-409]mmm\-yy;@" sourceLinked="1"/>
        <c:majorTickMark val="out"/>
        <c:minorTickMark val="none"/>
        <c:tickLblPos val="nextTo"/>
        <c:crossAx val="344670928"/>
        <c:crosses val="autoZero"/>
        <c:auto val="1"/>
        <c:lblOffset val="100"/>
        <c:baseTimeUnit val="months"/>
      </c:dateAx>
      <c:valAx>
        <c:axId val="3446709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344670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Engineering PM Backlog - Age Distribution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'PM3'!$B$33</c:f>
              <c:strCache>
                <c:ptCount val="1"/>
                <c:pt idx="0">
                  <c:v>Total #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'PM3'!$A$72:$A$84</c:f>
              <c:numCache>
                <c:formatCode>[$-409]mmm\-yy;@</c:formatCode>
                <c:ptCount val="13"/>
                <c:pt idx="0">
                  <c:v>42217</c:v>
                </c:pt>
                <c:pt idx="1">
                  <c:v>42248</c:v>
                </c:pt>
                <c:pt idx="2">
                  <c:v>42278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'PM3'!$B$72:$B$84</c:f>
              <c:numCache>
                <c:formatCode>General</c:formatCode>
                <c:ptCount val="13"/>
                <c:pt idx="0">
                  <c:v>347</c:v>
                </c:pt>
                <c:pt idx="1">
                  <c:v>266</c:v>
                </c:pt>
                <c:pt idx="2">
                  <c:v>373</c:v>
                </c:pt>
                <c:pt idx="3">
                  <c:v>459</c:v>
                </c:pt>
                <c:pt idx="4">
                  <c:v>496</c:v>
                </c:pt>
                <c:pt idx="5">
                  <c:v>285</c:v>
                </c:pt>
                <c:pt idx="6">
                  <c:v>214</c:v>
                </c:pt>
                <c:pt idx="7">
                  <c:v>298</c:v>
                </c:pt>
                <c:pt idx="8">
                  <c:v>559</c:v>
                </c:pt>
                <c:pt idx="9">
                  <c:v>528</c:v>
                </c:pt>
                <c:pt idx="10">
                  <c:v>602</c:v>
                </c:pt>
                <c:pt idx="11">
                  <c:v>810</c:v>
                </c:pt>
                <c:pt idx="12">
                  <c:v>479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'PM3'!$D$33</c:f>
              <c:strCache>
                <c:ptCount val="1"/>
                <c:pt idx="0">
                  <c:v>&lt; 30 Days</c:v>
                </c:pt>
              </c:strCache>
            </c:strRef>
          </c:tx>
          <c:cat>
            <c:numRef>
              <c:f>'PM3'!$A$72:$A$84</c:f>
              <c:numCache>
                <c:formatCode>[$-409]mmm\-yy;@</c:formatCode>
                <c:ptCount val="13"/>
                <c:pt idx="0">
                  <c:v>42217</c:v>
                </c:pt>
                <c:pt idx="1">
                  <c:v>42248</c:v>
                </c:pt>
                <c:pt idx="2">
                  <c:v>42278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'PM3'!$D$72:$D$84</c:f>
              <c:numCache>
                <c:formatCode>General</c:formatCode>
                <c:ptCount val="13"/>
                <c:pt idx="0">
                  <c:v>145</c:v>
                </c:pt>
                <c:pt idx="1">
                  <c:v>180</c:v>
                </c:pt>
                <c:pt idx="2">
                  <c:v>240</c:v>
                </c:pt>
                <c:pt idx="3">
                  <c:v>230</c:v>
                </c:pt>
                <c:pt idx="4">
                  <c:v>169</c:v>
                </c:pt>
                <c:pt idx="5">
                  <c:v>159</c:v>
                </c:pt>
                <c:pt idx="6">
                  <c:v>141</c:v>
                </c:pt>
                <c:pt idx="7">
                  <c:v>138</c:v>
                </c:pt>
                <c:pt idx="8">
                  <c:v>305</c:v>
                </c:pt>
                <c:pt idx="9">
                  <c:v>388</c:v>
                </c:pt>
                <c:pt idx="10">
                  <c:v>230</c:v>
                </c:pt>
                <c:pt idx="11">
                  <c:v>250</c:v>
                </c:pt>
                <c:pt idx="12">
                  <c:v>91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'PM3'!$E$33</c:f>
              <c:strCache>
                <c:ptCount val="1"/>
                <c:pt idx="0">
                  <c:v>30-60 Days</c:v>
                </c:pt>
              </c:strCache>
            </c:strRef>
          </c:tx>
          <c:cat>
            <c:numRef>
              <c:f>'PM3'!$A$72:$A$84</c:f>
              <c:numCache>
                <c:formatCode>[$-409]mmm\-yy;@</c:formatCode>
                <c:ptCount val="13"/>
                <c:pt idx="0">
                  <c:v>42217</c:v>
                </c:pt>
                <c:pt idx="1">
                  <c:v>42248</c:v>
                </c:pt>
                <c:pt idx="2">
                  <c:v>42278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'PM3'!$E$72:$E$84</c:f>
              <c:numCache>
                <c:formatCode>General</c:formatCode>
                <c:ptCount val="13"/>
                <c:pt idx="0">
                  <c:v>16</c:v>
                </c:pt>
                <c:pt idx="1">
                  <c:v>86</c:v>
                </c:pt>
                <c:pt idx="2">
                  <c:v>129</c:v>
                </c:pt>
                <c:pt idx="3">
                  <c:v>166</c:v>
                </c:pt>
                <c:pt idx="4">
                  <c:v>163</c:v>
                </c:pt>
                <c:pt idx="5">
                  <c:v>25</c:v>
                </c:pt>
                <c:pt idx="6">
                  <c:v>70</c:v>
                </c:pt>
                <c:pt idx="7">
                  <c:v>118</c:v>
                </c:pt>
                <c:pt idx="8">
                  <c:v>103</c:v>
                </c:pt>
                <c:pt idx="9">
                  <c:v>68</c:v>
                </c:pt>
                <c:pt idx="10">
                  <c:v>254</c:v>
                </c:pt>
                <c:pt idx="11">
                  <c:v>195</c:v>
                </c:pt>
                <c:pt idx="12">
                  <c:v>21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'PM3'!$F$33</c:f>
              <c:strCache>
                <c:ptCount val="1"/>
                <c:pt idx="0">
                  <c:v>61- 90 Days </c:v>
                </c:pt>
              </c:strCache>
            </c:strRef>
          </c:tx>
          <c:cat>
            <c:numRef>
              <c:f>'PM3'!$A$72:$A$84</c:f>
              <c:numCache>
                <c:formatCode>[$-409]mmm\-yy;@</c:formatCode>
                <c:ptCount val="13"/>
                <c:pt idx="0">
                  <c:v>42217</c:v>
                </c:pt>
                <c:pt idx="1">
                  <c:v>42248</c:v>
                </c:pt>
                <c:pt idx="2">
                  <c:v>42278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'PM3'!$F$72:$F$84</c:f>
              <c:numCache>
                <c:formatCode>General</c:formatCode>
                <c:ptCount val="13"/>
                <c:pt idx="0">
                  <c:v>74</c:v>
                </c:pt>
                <c:pt idx="1">
                  <c:v>0</c:v>
                </c:pt>
                <c:pt idx="2">
                  <c:v>2</c:v>
                </c:pt>
                <c:pt idx="3">
                  <c:v>59</c:v>
                </c:pt>
                <c:pt idx="4">
                  <c:v>7</c:v>
                </c:pt>
                <c:pt idx="5">
                  <c:v>46</c:v>
                </c:pt>
                <c:pt idx="6">
                  <c:v>0</c:v>
                </c:pt>
                <c:pt idx="7">
                  <c:v>42</c:v>
                </c:pt>
                <c:pt idx="8">
                  <c:v>111</c:v>
                </c:pt>
                <c:pt idx="9">
                  <c:v>6</c:v>
                </c:pt>
                <c:pt idx="10">
                  <c:v>54</c:v>
                </c:pt>
                <c:pt idx="11">
                  <c:v>15</c:v>
                </c:pt>
                <c:pt idx="12">
                  <c:v>107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'PM3'!$G$33</c:f>
              <c:strCache>
                <c:ptCount val="1"/>
                <c:pt idx="0">
                  <c:v>91-180 Days</c:v>
                </c:pt>
              </c:strCache>
            </c:strRef>
          </c:tx>
          <c:cat>
            <c:numRef>
              <c:f>'PM3'!$A$72:$A$84</c:f>
              <c:numCache>
                <c:formatCode>[$-409]mmm\-yy;@</c:formatCode>
                <c:ptCount val="13"/>
                <c:pt idx="0">
                  <c:v>42217</c:v>
                </c:pt>
                <c:pt idx="1">
                  <c:v>42248</c:v>
                </c:pt>
                <c:pt idx="2">
                  <c:v>42278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'PM3'!$G$72:$G$84</c:f>
              <c:numCache>
                <c:formatCode>General</c:formatCode>
                <c:ptCount val="13"/>
                <c:pt idx="0">
                  <c:v>77</c:v>
                </c:pt>
                <c:pt idx="1">
                  <c:v>0</c:v>
                </c:pt>
                <c:pt idx="2">
                  <c:v>2</c:v>
                </c:pt>
                <c:pt idx="3">
                  <c:v>3</c:v>
                </c:pt>
                <c:pt idx="4">
                  <c:v>157</c:v>
                </c:pt>
                <c:pt idx="5">
                  <c:v>55</c:v>
                </c:pt>
                <c:pt idx="6">
                  <c:v>3</c:v>
                </c:pt>
                <c:pt idx="7">
                  <c:v>0</c:v>
                </c:pt>
                <c:pt idx="8">
                  <c:v>40</c:v>
                </c:pt>
                <c:pt idx="9">
                  <c:v>66</c:v>
                </c:pt>
                <c:pt idx="10">
                  <c:v>63</c:v>
                </c:pt>
                <c:pt idx="11">
                  <c:v>325</c:v>
                </c:pt>
                <c:pt idx="12">
                  <c:v>250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'PM3'!$H$33</c:f>
              <c:strCache>
                <c:ptCount val="1"/>
                <c:pt idx="0">
                  <c:v>181-365 Days</c:v>
                </c:pt>
              </c:strCache>
            </c:strRef>
          </c:tx>
          <c:cat>
            <c:numRef>
              <c:f>'PM3'!$A$72:$A$84</c:f>
              <c:numCache>
                <c:formatCode>[$-409]mmm\-yy;@</c:formatCode>
                <c:ptCount val="13"/>
                <c:pt idx="0">
                  <c:v>42217</c:v>
                </c:pt>
                <c:pt idx="1">
                  <c:v>42248</c:v>
                </c:pt>
                <c:pt idx="2">
                  <c:v>42278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'PM3'!$H$72:$H$84</c:f>
              <c:numCache>
                <c:formatCode>General</c:formatCode>
                <c:ptCount val="13"/>
                <c:pt idx="0">
                  <c:v>15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25</c:v>
                </c:pt>
                <c:pt idx="12">
                  <c:v>10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'PM3'!$I$33</c:f>
              <c:strCache>
                <c:ptCount val="1"/>
                <c:pt idx="0">
                  <c:v>&gt;365 Days</c:v>
                </c:pt>
              </c:strCache>
            </c:strRef>
          </c:tx>
          <c:cat>
            <c:numRef>
              <c:f>'PM3'!$A$72:$A$84</c:f>
              <c:numCache>
                <c:formatCode>[$-409]mmm\-yy;@</c:formatCode>
                <c:ptCount val="13"/>
                <c:pt idx="0">
                  <c:v>42217</c:v>
                </c:pt>
                <c:pt idx="1">
                  <c:v>42248</c:v>
                </c:pt>
                <c:pt idx="2">
                  <c:v>42278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'PM3'!$I$72:$I$84</c:f>
              <c:numCache>
                <c:formatCode>General</c:formatCode>
                <c:ptCount val="13"/>
                <c:pt idx="0">
                  <c:v>20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779544"/>
        <c:axId val="343779936"/>
      </c:lineChart>
      <c:dateAx>
        <c:axId val="343779544"/>
        <c:scaling>
          <c:orientation val="minMax"/>
        </c:scaling>
        <c:delete val="1"/>
        <c:axPos val="b"/>
        <c:numFmt formatCode="[$-409]mmm\-yy;@" sourceLinked="1"/>
        <c:majorTickMark val="none"/>
        <c:minorTickMark val="none"/>
        <c:tickLblPos val="nextTo"/>
        <c:crossAx val="343779936"/>
        <c:crosses val="autoZero"/>
        <c:auto val="1"/>
        <c:lblOffset val="100"/>
        <c:baseTimeUnit val="months"/>
      </c:dateAx>
      <c:valAx>
        <c:axId val="3437799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work orders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4377954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</a:t>
            </a:r>
            <a:r>
              <a:rPr lang="en-US" baseline="0"/>
              <a:t> Requests to Customer</a:t>
            </a:r>
            <a:endParaRPr lang="en-US"/>
          </a:p>
        </c:rich>
      </c:tx>
      <c:layout>
        <c:manualLayout>
          <c:xMode val="edge"/>
          <c:yMode val="edge"/>
          <c:x val="0.2205802948869007"/>
          <c:y val="4.966236588794375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5.8821314733656919E-2"/>
          <c:y val="0.1298302039168181"/>
          <c:w val="0.60536598425196853"/>
          <c:h val="0.76561382657356514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'D&amp;CS P&amp;E'!$D$2</c:f>
              <c:strCache>
                <c:ptCount val="1"/>
                <c:pt idx="0">
                  <c:v>Incoming Requests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P&amp;E'!$A$22:$A$34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P&amp;E'!$D$22:$D$34</c:f>
              <c:numCache>
                <c:formatCode>General</c:formatCode>
                <c:ptCount val="13"/>
                <c:pt idx="0">
                  <c:v>10</c:v>
                </c:pt>
                <c:pt idx="1">
                  <c:v>17</c:v>
                </c:pt>
                <c:pt idx="2">
                  <c:v>17</c:v>
                </c:pt>
                <c:pt idx="3">
                  <c:v>18</c:v>
                </c:pt>
                <c:pt idx="4">
                  <c:v>13</c:v>
                </c:pt>
                <c:pt idx="5">
                  <c:v>18</c:v>
                </c:pt>
                <c:pt idx="6">
                  <c:v>15</c:v>
                </c:pt>
                <c:pt idx="7">
                  <c:v>24</c:v>
                </c:pt>
                <c:pt idx="8">
                  <c:v>21</c:v>
                </c:pt>
                <c:pt idx="9">
                  <c:v>15</c:v>
                </c:pt>
                <c:pt idx="10">
                  <c:v>26</c:v>
                </c:pt>
                <c:pt idx="11">
                  <c:v>12</c:v>
                </c:pt>
                <c:pt idx="12">
                  <c:v>17</c:v>
                </c:pt>
              </c:numCache>
            </c:numRef>
          </c:val>
        </c:ser>
        <c:ser>
          <c:idx val="3"/>
          <c:order val="3"/>
          <c:tx>
            <c:strRef>
              <c:f>'D&amp;CS P&amp;E'!$E$2</c:f>
              <c:strCache>
                <c:ptCount val="1"/>
                <c:pt idx="0">
                  <c:v>Outgoing Requests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P&amp;E'!$A$22:$A$34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P&amp;E'!$E$22:$E$34</c:f>
              <c:numCache>
                <c:formatCode>General</c:formatCode>
                <c:ptCount val="13"/>
                <c:pt idx="0">
                  <c:v>10</c:v>
                </c:pt>
                <c:pt idx="1">
                  <c:v>10</c:v>
                </c:pt>
                <c:pt idx="2">
                  <c:v>13</c:v>
                </c:pt>
                <c:pt idx="3">
                  <c:v>14</c:v>
                </c:pt>
                <c:pt idx="4">
                  <c:v>16</c:v>
                </c:pt>
                <c:pt idx="5">
                  <c:v>13</c:v>
                </c:pt>
                <c:pt idx="6">
                  <c:v>12</c:v>
                </c:pt>
                <c:pt idx="7">
                  <c:v>15</c:v>
                </c:pt>
                <c:pt idx="8">
                  <c:v>18</c:v>
                </c:pt>
                <c:pt idx="9">
                  <c:v>10</c:v>
                </c:pt>
                <c:pt idx="10">
                  <c:v>20</c:v>
                </c:pt>
                <c:pt idx="11">
                  <c:v>12</c:v>
                </c:pt>
                <c:pt idx="12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782288"/>
        <c:axId val="343781896"/>
      </c:barChart>
      <c:lineChart>
        <c:grouping val="standard"/>
        <c:varyColors val="0"/>
        <c:ser>
          <c:idx val="0"/>
          <c:order val="0"/>
          <c:tx>
            <c:strRef>
              <c:f>'D&amp;CS P&amp;E'!$B$2</c:f>
              <c:strCache>
                <c:ptCount val="1"/>
                <c:pt idx="0">
                  <c:v>% complete on time (estimates, planning)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P&amp;E'!$A$22:$A$34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P&amp;E'!$B$22:$B$34</c:f>
              <c:numCache>
                <c:formatCode>0%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0.76900000000000002</c:v>
                </c:pt>
                <c:pt idx="3">
                  <c:v>0.93</c:v>
                </c:pt>
                <c:pt idx="4">
                  <c:v>0.94</c:v>
                </c:pt>
                <c:pt idx="5">
                  <c:v>0.92300000000000004</c:v>
                </c:pt>
                <c:pt idx="6">
                  <c:v>1</c:v>
                </c:pt>
                <c:pt idx="7">
                  <c:v>1</c:v>
                </c:pt>
                <c:pt idx="8">
                  <c:v>0.88900000000000001</c:v>
                </c:pt>
                <c:pt idx="9">
                  <c:v>0.9</c:v>
                </c:pt>
                <c:pt idx="10">
                  <c:v>1</c:v>
                </c:pt>
                <c:pt idx="11">
                  <c:v>0.92</c:v>
                </c:pt>
                <c:pt idx="12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 P&amp;E'!$C$2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'D&amp;CS P&amp;E'!$A$22:$A$34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P&amp;E'!$C$22:$C$34</c:f>
              <c:numCache>
                <c:formatCode>0%</c:formatCode>
                <c:ptCount val="13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  <c:pt idx="4">
                  <c:v>0.85</c:v>
                </c:pt>
                <c:pt idx="5">
                  <c:v>0.85</c:v>
                </c:pt>
                <c:pt idx="6">
                  <c:v>0.85</c:v>
                </c:pt>
                <c:pt idx="7">
                  <c:v>0.85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781112"/>
        <c:axId val="343781504"/>
      </c:lineChart>
      <c:dateAx>
        <c:axId val="34378111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343781504"/>
        <c:crosses val="autoZero"/>
        <c:auto val="1"/>
        <c:lblOffset val="100"/>
        <c:baseTimeUnit val="months"/>
      </c:dateAx>
      <c:valAx>
        <c:axId val="34378150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343781112"/>
        <c:crosses val="autoZero"/>
        <c:crossBetween val="between"/>
      </c:valAx>
      <c:valAx>
        <c:axId val="3437818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343782288"/>
        <c:crosses val="max"/>
        <c:crossBetween val="between"/>
      </c:valAx>
      <c:dateAx>
        <c:axId val="343782288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343781896"/>
        <c:crosses val="autoZero"/>
        <c:auto val="1"/>
        <c:lblOffset val="100"/>
        <c:baseTimeUnit val="days"/>
        <c:majorUnit val="1"/>
        <c:minorUnit val="1"/>
      </c:dateAx>
    </c:plotArea>
    <c:legend>
      <c:legendPos val="r"/>
      <c:layout>
        <c:manualLayout>
          <c:xMode val="edge"/>
          <c:yMode val="edge"/>
          <c:x val="0.71021879265091858"/>
          <c:y val="0.34530345245305877"/>
          <c:w val="0.28178120734908135"/>
          <c:h val="0.4529828386836261"/>
        </c:manualLayout>
      </c:layout>
      <c:overlay val="0"/>
    </c:legend>
    <c:plotVisOnly val="1"/>
    <c:dispBlanksAs val="gap"/>
    <c:showDLblsOverMax val="0"/>
  </c:chart>
  <c:printSettings>
    <c:headerFooter/>
    <c:pageMargins b="0.75" l="0.25" r="0.25" t="0.75" header="0.3" footer="0.3"/>
    <c:pageSetup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Plant Fund</a:t>
            </a:r>
            <a:r>
              <a:rPr lang="en-US" baseline="0"/>
              <a:t> Closure</a:t>
            </a:r>
            <a:endParaRPr lang="en-US"/>
          </a:p>
        </c:rich>
      </c:tx>
      <c:layout>
        <c:manualLayout>
          <c:xMode val="edge"/>
          <c:yMode val="edge"/>
          <c:x val="0.28958373666448617"/>
          <c:y val="2.293190101178197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6521265608382"/>
          <c:y val="0.18985922878892419"/>
          <c:w val="0.85755168111267366"/>
          <c:h val="0.61743819276226652"/>
        </c:manualLayout>
      </c:layout>
      <c:lineChart>
        <c:grouping val="standard"/>
        <c:varyColors val="0"/>
        <c:ser>
          <c:idx val="0"/>
          <c:order val="0"/>
          <c:tx>
            <c:strRef>
              <c:f>'D&amp;CS Admin'!$C$71</c:f>
              <c:strCache>
                <c:ptCount val="1"/>
                <c:pt idx="0">
                  <c:v>Goal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Admin'!$A$105:$A$117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Admin'!$C$105:$C$117</c:f>
              <c:numCache>
                <c:formatCode>0%</c:formatCode>
                <c:ptCount val="13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 Admin'!$B$71</c:f>
              <c:strCache>
                <c:ptCount val="1"/>
                <c:pt idx="0">
                  <c:v>% in 30 days or less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Admin'!$A$105:$A$117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Admin'!$B$105:$B$117</c:f>
              <c:numCache>
                <c:formatCode>0%</c:formatCode>
                <c:ptCount val="13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0.7142857142857143</c:v>
                </c:pt>
                <c:pt idx="4">
                  <c:v>1</c:v>
                </c:pt>
                <c:pt idx="5">
                  <c:v>0.9285714285714286</c:v>
                </c:pt>
                <c:pt idx="6">
                  <c:v>0.90909090909090906</c:v>
                </c:pt>
                <c:pt idx="7">
                  <c:v>1</c:v>
                </c:pt>
                <c:pt idx="8">
                  <c:v>0.5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488656"/>
        <c:axId val="344489048"/>
      </c:lineChart>
      <c:dateAx>
        <c:axId val="34448865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344489048"/>
        <c:crosses val="autoZero"/>
        <c:auto val="1"/>
        <c:lblOffset val="100"/>
        <c:baseTimeUnit val="months"/>
      </c:dateAx>
      <c:valAx>
        <c:axId val="344489048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344488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2466719316484824"/>
          <c:y val="0.39331180296624768"/>
          <c:w val="0.29371882267956301"/>
          <c:h val="0.1611397585847111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 Closure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094619955058474"/>
          <c:y val="0.10063163371830718"/>
          <c:w val="0.8339564992837909"/>
          <c:h val="0.68740327760295405"/>
        </c:manualLayout>
      </c:layout>
      <c:lineChart>
        <c:grouping val="standard"/>
        <c:varyColors val="0"/>
        <c:ser>
          <c:idx val="0"/>
          <c:order val="0"/>
          <c:tx>
            <c:strRef>
              <c:f>'D&amp;CS Admin'!$C$71</c:f>
              <c:strCache>
                <c:ptCount val="1"/>
                <c:pt idx="0">
                  <c:v>Goal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Admin'!$A$171:$A$183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Admin'!$C$171:$C$183</c:f>
              <c:numCache>
                <c:formatCode>0%</c:formatCode>
                <c:ptCount val="13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 Admin'!$B$137</c:f>
              <c:strCache>
                <c:ptCount val="1"/>
                <c:pt idx="0">
                  <c:v>% in 180 days or less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Admin'!$A$171:$A$183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Admin'!$B$171:$B$183</c:f>
              <c:numCache>
                <c:formatCode>0%</c:formatCode>
                <c:ptCount val="13"/>
                <c:pt idx="0">
                  <c:v>0.625</c:v>
                </c:pt>
                <c:pt idx="1">
                  <c:v>0</c:v>
                </c:pt>
                <c:pt idx="2">
                  <c:v>0.63636363636363635</c:v>
                </c:pt>
                <c:pt idx="3">
                  <c:v>0.2857142857142857</c:v>
                </c:pt>
                <c:pt idx="4">
                  <c:v>0.5714285714285714</c:v>
                </c:pt>
                <c:pt idx="5">
                  <c:v>0.2857142857142857</c:v>
                </c:pt>
                <c:pt idx="6">
                  <c:v>9.0909090909090912E-2</c:v>
                </c:pt>
                <c:pt idx="7">
                  <c:v>0.33333333333333331</c:v>
                </c:pt>
                <c:pt idx="8">
                  <c:v>0</c:v>
                </c:pt>
                <c:pt idx="9">
                  <c:v>0.33333333333333331</c:v>
                </c:pt>
                <c:pt idx="10">
                  <c:v>0.10526315789473684</c:v>
                </c:pt>
                <c:pt idx="11">
                  <c:v>0.4</c:v>
                </c:pt>
                <c:pt idx="12">
                  <c:v>0.16666666666666666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489832"/>
        <c:axId val="344490224"/>
      </c:lineChart>
      <c:dateAx>
        <c:axId val="34448983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344490224"/>
        <c:crosses val="autoZero"/>
        <c:auto val="1"/>
        <c:lblOffset val="100"/>
        <c:baseTimeUnit val="months"/>
      </c:dateAx>
      <c:valAx>
        <c:axId val="344490224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344489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054522646660341"/>
          <c:y val="0.23632389384670005"/>
          <c:w val="0.3119775266410299"/>
          <c:h val="0.1627441573378479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age (days)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650732817689808E-2"/>
          <c:y val="0.18245008941807578"/>
          <c:w val="0.86201658421015959"/>
          <c:h val="0.595070418071245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'D&amp;CS Admin'!$G$137</c:f>
              <c:strCache>
                <c:ptCount val="1"/>
                <c:pt idx="0">
                  <c:v>Average age (days)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Admin'!$A$171:$A$183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Admin'!$G$171:$G$183</c:f>
              <c:numCache>
                <c:formatCode>0</c:formatCode>
                <c:ptCount val="13"/>
                <c:pt idx="0">
                  <c:v>226</c:v>
                </c:pt>
                <c:pt idx="1">
                  <c:v>0</c:v>
                </c:pt>
                <c:pt idx="2">
                  <c:v>203.9</c:v>
                </c:pt>
                <c:pt idx="3">
                  <c:v>220.6</c:v>
                </c:pt>
                <c:pt idx="4">
                  <c:v>168.1</c:v>
                </c:pt>
                <c:pt idx="5">
                  <c:v>265</c:v>
                </c:pt>
                <c:pt idx="6">
                  <c:v>248</c:v>
                </c:pt>
                <c:pt idx="7">
                  <c:v>541</c:v>
                </c:pt>
                <c:pt idx="8">
                  <c:v>497</c:v>
                </c:pt>
                <c:pt idx="9">
                  <c:v>167</c:v>
                </c:pt>
                <c:pt idx="10">
                  <c:v>1363</c:v>
                </c:pt>
                <c:pt idx="11">
                  <c:v>276.39999999999998</c:v>
                </c:pt>
                <c:pt idx="12">
                  <c:v>1702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491008"/>
        <c:axId val="344491400"/>
      </c:barChart>
      <c:lineChart>
        <c:grouping val="standard"/>
        <c:varyColors val="0"/>
        <c:ser>
          <c:idx val="1"/>
          <c:order val="1"/>
          <c:tx>
            <c:strRef>
              <c:f>'D&amp;CS Admin'!$H$137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dLbls>
            <c:dLbl>
              <c:idx val="10"/>
              <c:layout>
                <c:manualLayout>
                  <c:x val="4.71976401179941E-3"/>
                  <c:y val="7.269639842807536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Admin'!$A$171:$A$183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Admin'!$H$171:$H$183</c:f>
              <c:numCache>
                <c:formatCode>General</c:formatCode>
                <c:ptCount val="13"/>
                <c:pt idx="0">
                  <c:v>180</c:v>
                </c:pt>
                <c:pt idx="1">
                  <c:v>180</c:v>
                </c:pt>
                <c:pt idx="2">
                  <c:v>180</c:v>
                </c:pt>
                <c:pt idx="3">
                  <c:v>180</c:v>
                </c:pt>
                <c:pt idx="4">
                  <c:v>180</c:v>
                </c:pt>
                <c:pt idx="5">
                  <c:v>180</c:v>
                </c:pt>
                <c:pt idx="6">
                  <c:v>180</c:v>
                </c:pt>
                <c:pt idx="7">
                  <c:v>180</c:v>
                </c:pt>
                <c:pt idx="8">
                  <c:v>180</c:v>
                </c:pt>
                <c:pt idx="9">
                  <c:v>180</c:v>
                </c:pt>
                <c:pt idx="10">
                  <c:v>180</c:v>
                </c:pt>
                <c:pt idx="11">
                  <c:v>180</c:v>
                </c:pt>
                <c:pt idx="12">
                  <c:v>180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491008"/>
        <c:axId val="344491400"/>
      </c:lineChart>
      <c:dateAx>
        <c:axId val="34449100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344491400"/>
        <c:crosses val="autoZero"/>
        <c:auto val="1"/>
        <c:lblOffset val="100"/>
        <c:baseTimeUnit val="months"/>
      </c:dateAx>
      <c:valAx>
        <c:axId val="3444914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3444910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064706292244439"/>
          <c:y val="4.1754195355158348E-2"/>
          <c:w val="0.2519419320372564"/>
          <c:h val="0.1434084940556347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age (days)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11138666862035"/>
          <c:y val="0.18412675332765732"/>
          <c:w val="0.84608833590293975"/>
          <c:h val="0.634383602956581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'D&amp;CS Admin'!$G$71</c:f>
              <c:strCache>
                <c:ptCount val="1"/>
                <c:pt idx="0">
                  <c:v>Average age (days)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Admin'!$A$105:$A$117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Admin'!$G$105:$G$117</c:f>
              <c:numCache>
                <c:formatCode>0</c:formatCode>
                <c:ptCount val="13"/>
                <c:pt idx="0">
                  <c:v>11</c:v>
                </c:pt>
                <c:pt idx="1">
                  <c:v>0</c:v>
                </c:pt>
                <c:pt idx="2">
                  <c:v>12.55</c:v>
                </c:pt>
                <c:pt idx="3">
                  <c:v>20.29</c:v>
                </c:pt>
                <c:pt idx="4">
                  <c:v>14.7</c:v>
                </c:pt>
                <c:pt idx="5">
                  <c:v>11.7</c:v>
                </c:pt>
                <c:pt idx="6">
                  <c:v>14.65</c:v>
                </c:pt>
                <c:pt idx="7">
                  <c:v>2</c:v>
                </c:pt>
                <c:pt idx="8">
                  <c:v>25.5</c:v>
                </c:pt>
                <c:pt idx="9">
                  <c:v>5.8</c:v>
                </c:pt>
                <c:pt idx="10">
                  <c:v>3.26</c:v>
                </c:pt>
                <c:pt idx="11">
                  <c:v>8.4</c:v>
                </c:pt>
                <c:pt idx="1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492184"/>
        <c:axId val="345030032"/>
      </c:barChart>
      <c:lineChart>
        <c:grouping val="standard"/>
        <c:varyColors val="0"/>
        <c:ser>
          <c:idx val="1"/>
          <c:order val="1"/>
          <c:tx>
            <c:strRef>
              <c:f>'D&amp;CS Admin'!$H$71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Admin'!$A$105:$A$117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Admin'!$H$105:$H$117</c:f>
              <c:numCache>
                <c:formatCode>General</c:formatCode>
                <c:ptCount val="13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492184"/>
        <c:axId val="345030032"/>
      </c:lineChart>
      <c:dateAx>
        <c:axId val="34449218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345030032"/>
        <c:crosses val="autoZero"/>
        <c:auto val="1"/>
        <c:lblOffset val="100"/>
        <c:baseTimeUnit val="months"/>
      </c:dateAx>
      <c:valAx>
        <c:axId val="3450300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3444921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531466513286324"/>
          <c:y val="2.3489115654428544E-2"/>
          <c:w val="0.27440421088932937"/>
          <c:h val="0.1582576654732317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 Petition to Close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193715739202396"/>
          <c:y val="0.13409037302459564"/>
          <c:w val="0.85536355022054378"/>
          <c:h val="0.61765529618785364"/>
        </c:manualLayout>
      </c:layout>
      <c:lineChart>
        <c:grouping val="standard"/>
        <c:varyColors val="0"/>
        <c:ser>
          <c:idx val="0"/>
          <c:order val="0"/>
          <c:tx>
            <c:strRef>
              <c:f>'D&amp;CS Admin'!$B$3</c:f>
              <c:strCache>
                <c:ptCount val="1"/>
                <c:pt idx="0">
                  <c:v>% in 150 days or less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Admin'!$A$37:$A$49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Admin'!$B$37:$B$49</c:f>
              <c:numCache>
                <c:formatCode>0%</c:formatCode>
                <c:ptCount val="13"/>
                <c:pt idx="0">
                  <c:v>1</c:v>
                </c:pt>
                <c:pt idx="1">
                  <c:v>0.25</c:v>
                </c:pt>
                <c:pt idx="2">
                  <c:v>0.3</c:v>
                </c:pt>
                <c:pt idx="3">
                  <c:v>0</c:v>
                </c:pt>
                <c:pt idx="4">
                  <c:v>1</c:v>
                </c:pt>
                <c:pt idx="5">
                  <c:v>0.30769230769230771</c:v>
                </c:pt>
                <c:pt idx="6">
                  <c:v>0.1</c:v>
                </c:pt>
                <c:pt idx="7">
                  <c:v>0.33333333333333331</c:v>
                </c:pt>
                <c:pt idx="8">
                  <c:v>0</c:v>
                </c:pt>
                <c:pt idx="9">
                  <c:v>0.4</c:v>
                </c:pt>
                <c:pt idx="10">
                  <c:v>0.05</c:v>
                </c:pt>
                <c:pt idx="11">
                  <c:v>0.4</c:v>
                </c:pt>
                <c:pt idx="12">
                  <c:v>0.2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 Admin'!$C$3</c:f>
              <c:strCache>
                <c:ptCount val="1"/>
                <c:pt idx="0">
                  <c:v>Goal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Admin'!$A$37:$A$49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Admin'!$C$37:$C$49</c:f>
              <c:numCache>
                <c:formatCode>0%</c:formatCode>
                <c:ptCount val="13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030816"/>
        <c:axId val="345031208"/>
      </c:lineChart>
      <c:dateAx>
        <c:axId val="34503081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345031208"/>
        <c:crosses val="autoZero"/>
        <c:auto val="1"/>
        <c:lblOffset val="100"/>
        <c:baseTimeUnit val="months"/>
      </c:dateAx>
      <c:valAx>
        <c:axId val="345031208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3450308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8516910416457903"/>
          <c:y val="0.26304157384682841"/>
          <c:w val="0.30272550591486602"/>
          <c:h val="0.1987726458431199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age (days)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612227721352316"/>
          <c:y val="0.15875935248338982"/>
          <c:w val="0.86525521474627587"/>
          <c:h val="0.647424056978510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'D&amp;CS Admin'!$G$3</c:f>
              <c:strCache>
                <c:ptCount val="1"/>
                <c:pt idx="0">
                  <c:v>Average age (days)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Admin'!$A$37:$A$49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Admin'!$G$37:$G$49</c:f>
              <c:numCache>
                <c:formatCode>0</c:formatCode>
                <c:ptCount val="13"/>
                <c:pt idx="0">
                  <c:v>74.5</c:v>
                </c:pt>
                <c:pt idx="1">
                  <c:v>193.8</c:v>
                </c:pt>
                <c:pt idx="2">
                  <c:v>245.9</c:v>
                </c:pt>
                <c:pt idx="3">
                  <c:v>329</c:v>
                </c:pt>
                <c:pt idx="4">
                  <c:v>46</c:v>
                </c:pt>
                <c:pt idx="5">
                  <c:v>210.5</c:v>
                </c:pt>
                <c:pt idx="6">
                  <c:v>236.4</c:v>
                </c:pt>
                <c:pt idx="7">
                  <c:v>539.70000000000005</c:v>
                </c:pt>
                <c:pt idx="8">
                  <c:v>257</c:v>
                </c:pt>
                <c:pt idx="9">
                  <c:v>91</c:v>
                </c:pt>
                <c:pt idx="10">
                  <c:v>1293</c:v>
                </c:pt>
                <c:pt idx="11">
                  <c:v>268</c:v>
                </c:pt>
                <c:pt idx="12">
                  <c:v>1415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031992"/>
        <c:axId val="345032384"/>
      </c:barChart>
      <c:lineChart>
        <c:grouping val="standard"/>
        <c:varyColors val="0"/>
        <c:ser>
          <c:idx val="1"/>
          <c:order val="1"/>
          <c:tx>
            <c:strRef>
              <c:f>'D&amp;CS Admin'!$H$3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Admin'!$A$37:$A$49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Admin'!$H$37:$H$49</c:f>
              <c:numCache>
                <c:formatCode>General</c:formatCode>
                <c:ptCount val="13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150</c:v>
                </c:pt>
                <c:pt idx="8">
                  <c:v>150</c:v>
                </c:pt>
                <c:pt idx="9">
                  <c:v>150</c:v>
                </c:pt>
                <c:pt idx="10">
                  <c:v>150</c:v>
                </c:pt>
                <c:pt idx="11">
                  <c:v>150</c:v>
                </c:pt>
                <c:pt idx="12">
                  <c:v>150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031992"/>
        <c:axId val="345032384"/>
      </c:lineChart>
      <c:dateAx>
        <c:axId val="345031992"/>
        <c:scaling>
          <c:orientation val="minMax"/>
        </c:scaling>
        <c:delete val="0"/>
        <c:axPos val="b"/>
        <c:numFmt formatCode="[$-409]mmm\-yy;@" sourceLinked="0"/>
        <c:majorTickMark val="none"/>
        <c:minorTickMark val="none"/>
        <c:tickLblPos val="nextTo"/>
        <c:crossAx val="345032384"/>
        <c:crosses val="autoZero"/>
        <c:auto val="1"/>
        <c:lblOffset val="100"/>
        <c:baseTimeUnit val="months"/>
      </c:dateAx>
      <c:valAx>
        <c:axId val="3450323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345031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612882829447255"/>
          <c:y val="2.2269746766567001E-2"/>
          <c:w val="0.28387117170552756"/>
          <c:h val="0.1512819769624899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Execution of Change Order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151025977640559"/>
          <c:y val="0.1770633323510358"/>
          <c:w val="0.85210618312344166"/>
          <c:h val="0.67275342507048852"/>
        </c:manualLayout>
      </c:layout>
      <c:lineChart>
        <c:grouping val="standard"/>
        <c:varyColors val="0"/>
        <c:ser>
          <c:idx val="0"/>
          <c:order val="0"/>
          <c:tx>
            <c:strRef>
              <c:f>'D&amp;CS Admin'!$B$204</c:f>
              <c:strCache>
                <c:ptCount val="1"/>
                <c:pt idx="0">
                  <c:v>% in 45 days or less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Admin'!$A$234:$A$246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Admin'!$B$234:$B$246</c:f>
              <c:numCache>
                <c:formatCode>0%</c:formatCode>
                <c:ptCount val="13"/>
                <c:pt idx="0">
                  <c:v>0.83333333333333337</c:v>
                </c:pt>
                <c:pt idx="1">
                  <c:v>0.5</c:v>
                </c:pt>
                <c:pt idx="2">
                  <c:v>0.72727272727272729</c:v>
                </c:pt>
                <c:pt idx="3">
                  <c:v>0.83333333333333337</c:v>
                </c:pt>
                <c:pt idx="4">
                  <c:v>0.75</c:v>
                </c:pt>
                <c:pt idx="5">
                  <c:v>0.625</c:v>
                </c:pt>
                <c:pt idx="6">
                  <c:v>0.8</c:v>
                </c:pt>
                <c:pt idx="7">
                  <c:v>0.7142857142857143</c:v>
                </c:pt>
                <c:pt idx="8">
                  <c:v>1</c:v>
                </c:pt>
                <c:pt idx="9">
                  <c:v>0.83333333333333337</c:v>
                </c:pt>
                <c:pt idx="10">
                  <c:v>0.33333333333333331</c:v>
                </c:pt>
                <c:pt idx="11">
                  <c:v>0.45454545454545453</c:v>
                </c:pt>
                <c:pt idx="12">
                  <c:v>0.6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'D&amp;CS Admin'!$C$204</c:f>
              <c:strCache>
                <c:ptCount val="1"/>
                <c:pt idx="0">
                  <c:v>Goal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Admin'!$A$234:$A$246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Admin'!$C$234:$C$246</c:f>
              <c:numCache>
                <c:formatCode>0%</c:formatCode>
                <c:ptCount val="13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033168"/>
        <c:axId val="345033560"/>
      </c:lineChart>
      <c:dateAx>
        <c:axId val="34503316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345033560"/>
        <c:crosses val="autoZero"/>
        <c:auto val="1"/>
        <c:lblOffset val="100"/>
        <c:baseTimeUnit val="months"/>
      </c:dateAx>
      <c:valAx>
        <c:axId val="345033560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3450331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2551261936488156"/>
          <c:y val="0.70502329256586416"/>
          <c:w val="0.28275098952470795"/>
          <c:h val="0.1455511922809757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Project Survey Scores </a:t>
            </a:r>
          </a:p>
          <a:p>
            <a:pPr>
              <a:defRPr/>
            </a:pPr>
            <a:r>
              <a:rPr lang="en-US"/>
              <a:t>1=Strongly disagree  5=Strongly agree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6120039914968099E-2"/>
          <c:y val="0.13772024552067608"/>
          <c:w val="0.97387996008503186"/>
          <c:h val="0.73876750088927146"/>
        </c:manualLayout>
      </c:layout>
      <c:lineChart>
        <c:grouping val="standard"/>
        <c:varyColors val="0"/>
        <c:ser>
          <c:idx val="0"/>
          <c:order val="0"/>
          <c:tx>
            <c:strRef>
              <c:f>'Survey Projects'!$B$1:$B$2</c:f>
              <c:strCache>
                <c:ptCount val="2"/>
                <c:pt idx="0">
                  <c:v>Average Project Survey Scores 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'Survey Projects'!$A$20:$A$32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42416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42567</c:v>
                </c:pt>
                <c:pt idx="12">
                  <c:v>42598</c:v>
                </c:pt>
              </c:numCache>
            </c:numRef>
          </c:cat>
          <c:val>
            <c:numRef>
              <c:f>'Survey Projects'!$B$20:$B$32</c:f>
              <c:numCache>
                <c:formatCode>General</c:formatCode>
                <c:ptCount val="13"/>
                <c:pt idx="0">
                  <c:v>4.67</c:v>
                </c:pt>
                <c:pt idx="1">
                  <c:v>5</c:v>
                </c:pt>
                <c:pt idx="2">
                  <c:v>2.8</c:v>
                </c:pt>
                <c:pt idx="3">
                  <c:v>4.54</c:v>
                </c:pt>
                <c:pt idx="4">
                  <c:v>5</c:v>
                </c:pt>
                <c:pt idx="5">
                  <c:v>5</c:v>
                </c:pt>
                <c:pt idx="6">
                  <c:v>4.8</c:v>
                </c:pt>
                <c:pt idx="7">
                  <c:v>4.91</c:v>
                </c:pt>
                <c:pt idx="8">
                  <c:v>5</c:v>
                </c:pt>
                <c:pt idx="9">
                  <c:v>5</c:v>
                </c:pt>
                <c:pt idx="10">
                  <c:v>0</c:v>
                </c:pt>
                <c:pt idx="11">
                  <c:v>0</c:v>
                </c:pt>
                <c:pt idx="12">
                  <c:v>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510472"/>
        <c:axId val="193510856"/>
      </c:lineChart>
      <c:dateAx>
        <c:axId val="19351047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93510856"/>
        <c:crosses val="autoZero"/>
        <c:auto val="1"/>
        <c:lblOffset val="100"/>
        <c:baseTimeUnit val="months"/>
      </c:dateAx>
      <c:valAx>
        <c:axId val="193510856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Score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3510472"/>
        <c:crosses val="autoZero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74531126413626336"/>
          <c:y val="0.41561328161801109"/>
          <c:w val="0.18685339609301607"/>
          <c:h val="0.13227146688452771"/>
        </c:manualLayout>
      </c:layout>
      <c:overlay val="0"/>
    </c:legend>
    <c:plotVisOnly val="1"/>
    <c:dispBlanksAs val="gap"/>
    <c:showDLblsOverMax val="0"/>
  </c:chart>
  <c:printSettings>
    <c:headerFooter/>
    <c:pageMargins b="0.75" l="0.25" r="0.25" t="0.75" header="0.3" footer="0.3"/>
    <c:pageSetup orientation="landscape"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age (days)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650732817689808E-2"/>
          <c:y val="0.18245008941807578"/>
          <c:w val="0.86201658421015959"/>
          <c:h val="0.59507041807124594"/>
        </c:manualLayout>
      </c:layout>
      <c:barChart>
        <c:barDir val="col"/>
        <c:grouping val="clustered"/>
        <c:varyColors val="0"/>
        <c:ser>
          <c:idx val="0"/>
          <c:order val="3"/>
          <c:tx>
            <c:strRef>
              <c:f>'D&amp;CS Admin'!$G$137</c:f>
              <c:strCache>
                <c:ptCount val="1"/>
                <c:pt idx="0">
                  <c:v>Average age (days)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Admin'!$A$234:$A$246</c:f>
              <c:numCache>
                <c:formatCode>mmm\-yy</c:formatCode>
                <c:ptCount val="13"/>
                <c:pt idx="0">
                  <c:v>42217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'D&amp;CS Admin'!$G$234:$G$246</c:f>
              <c:numCache>
                <c:formatCode>General</c:formatCode>
                <c:ptCount val="13"/>
                <c:pt idx="0">
                  <c:v>46</c:v>
                </c:pt>
                <c:pt idx="1">
                  <c:v>55</c:v>
                </c:pt>
                <c:pt idx="2">
                  <c:v>42</c:v>
                </c:pt>
                <c:pt idx="3">
                  <c:v>40</c:v>
                </c:pt>
                <c:pt idx="4">
                  <c:v>44</c:v>
                </c:pt>
                <c:pt idx="5">
                  <c:v>39</c:v>
                </c:pt>
                <c:pt idx="6">
                  <c:v>53</c:v>
                </c:pt>
                <c:pt idx="7">
                  <c:v>38</c:v>
                </c:pt>
                <c:pt idx="8">
                  <c:v>31</c:v>
                </c:pt>
                <c:pt idx="9">
                  <c:v>27</c:v>
                </c:pt>
                <c:pt idx="10">
                  <c:v>89</c:v>
                </c:pt>
                <c:pt idx="11">
                  <c:v>38</c:v>
                </c:pt>
                <c:pt idx="12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481000"/>
        <c:axId val="345481392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'D&amp;CS Admin'!$G$204</c15:sqref>
                        </c15:formulaRef>
                      </c:ext>
                    </c:extLst>
                    <c:strCache>
                      <c:ptCount val="1"/>
                      <c:pt idx="0">
                        <c:v>Average age (days)</c:v>
                      </c:pt>
                    </c:strCache>
                  </c:strRef>
                </c:tx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'D&amp;CS Admin'!$A$234:$A$246</c15:sqref>
                        </c15:formulaRef>
                      </c:ext>
                    </c:extLst>
                    <c:numCache>
                      <c:formatCode>mmm\-yy</c:formatCode>
                      <c:ptCount val="13"/>
                      <c:pt idx="0">
                        <c:v>42217</c:v>
                      </c:pt>
                      <c:pt idx="1">
                        <c:v>42262</c:v>
                      </c:pt>
                      <c:pt idx="2">
                        <c:v>42292</c:v>
                      </c:pt>
                      <c:pt idx="3">
                        <c:v>42309</c:v>
                      </c:pt>
                      <c:pt idx="4">
                        <c:v>42339</c:v>
                      </c:pt>
                      <c:pt idx="5">
                        <c:v>42370</c:v>
                      </c:pt>
                      <c:pt idx="6">
                        <c:v>42401</c:v>
                      </c:pt>
                      <c:pt idx="7">
                        <c:v>42430</c:v>
                      </c:pt>
                      <c:pt idx="8">
                        <c:v>42461</c:v>
                      </c:pt>
                      <c:pt idx="9">
                        <c:v>42491</c:v>
                      </c:pt>
                      <c:pt idx="10">
                        <c:v>42522</c:v>
                      </c:pt>
                      <c:pt idx="11">
                        <c:v>42552</c:v>
                      </c:pt>
                      <c:pt idx="12">
                        <c:v>42583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'D&amp;CS Admin'!$G$222:$G$234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209</c:v>
                      </c:pt>
                      <c:pt idx="1">
                        <c:v>28</c:v>
                      </c:pt>
                      <c:pt idx="2">
                        <c:v>46</c:v>
                      </c:pt>
                      <c:pt idx="3">
                        <c:v>25</c:v>
                      </c:pt>
                      <c:pt idx="4">
                        <c:v>10</c:v>
                      </c:pt>
                      <c:pt idx="5">
                        <c:v>46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'D&amp;CS Admin'!$B$204</c15:sqref>
                        </c15:formulaRef>
                      </c:ext>
                    </c:extLst>
                    <c:strCache>
                      <c:ptCount val="1"/>
                      <c:pt idx="0">
                        <c:v>% in 45 days or less</c:v>
                      </c:pt>
                    </c:strCache>
                  </c:strRef>
                </c:tx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'D&amp;CS Admin'!$A$234:$A$246</c15:sqref>
                        </c15:formulaRef>
                      </c:ext>
                    </c:extLst>
                    <c:numCache>
                      <c:formatCode>mmm\-yy</c:formatCode>
                      <c:ptCount val="13"/>
                      <c:pt idx="0">
                        <c:v>42217</c:v>
                      </c:pt>
                      <c:pt idx="1">
                        <c:v>42262</c:v>
                      </c:pt>
                      <c:pt idx="2">
                        <c:v>42292</c:v>
                      </c:pt>
                      <c:pt idx="3">
                        <c:v>42309</c:v>
                      </c:pt>
                      <c:pt idx="4">
                        <c:v>42339</c:v>
                      </c:pt>
                      <c:pt idx="5">
                        <c:v>42370</c:v>
                      </c:pt>
                      <c:pt idx="6">
                        <c:v>42401</c:v>
                      </c:pt>
                      <c:pt idx="7">
                        <c:v>42430</c:v>
                      </c:pt>
                      <c:pt idx="8">
                        <c:v>42461</c:v>
                      </c:pt>
                      <c:pt idx="9">
                        <c:v>42491</c:v>
                      </c:pt>
                      <c:pt idx="10">
                        <c:v>42522</c:v>
                      </c:pt>
                      <c:pt idx="11">
                        <c:v>42552</c:v>
                      </c:pt>
                      <c:pt idx="12">
                        <c:v>42583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'D&amp;CS Admin'!$B$222:$B$234</c15:sqref>
                        </c15:formulaRef>
                      </c:ext>
                    </c:extLst>
                    <c:numCache>
                      <c:formatCode>0%</c:formatCode>
                      <c:ptCount val="6"/>
                      <c:pt idx="0">
                        <c:v>0.5</c:v>
                      </c:pt>
                      <c:pt idx="1">
                        <c:v>1</c:v>
                      </c:pt>
                      <c:pt idx="2">
                        <c:v>0.83333333333333337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0.83333333333333337</c:v>
                      </c:pt>
                    </c:numCache>
                  </c:numRef>
                </c:val>
              </c15:ser>
            </c15:filteredBarSeries>
            <c15:filteredBarSeries>
              <c15:ser>
                <c:idx val="5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'D&amp;CS Admin'!$C$204</c15:sqref>
                        </c15:formulaRef>
                      </c:ext>
                    </c:extLst>
                    <c:strCache>
                      <c:ptCount val="1"/>
                      <c:pt idx="0">
                        <c:v>Goal</c:v>
                      </c:pt>
                    </c:strCache>
                  </c:strRef>
                </c:tx>
                <c:invertIfNegative val="0"/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'D&amp;CS Admin'!$A$234:$A$246</c15:sqref>
                        </c15:formulaRef>
                      </c:ext>
                    </c:extLst>
                    <c:numCache>
                      <c:formatCode>mmm\-yy</c:formatCode>
                      <c:ptCount val="13"/>
                      <c:pt idx="0">
                        <c:v>42217</c:v>
                      </c:pt>
                      <c:pt idx="1">
                        <c:v>42262</c:v>
                      </c:pt>
                      <c:pt idx="2">
                        <c:v>42292</c:v>
                      </c:pt>
                      <c:pt idx="3">
                        <c:v>42309</c:v>
                      </c:pt>
                      <c:pt idx="4">
                        <c:v>42339</c:v>
                      </c:pt>
                      <c:pt idx="5">
                        <c:v>42370</c:v>
                      </c:pt>
                      <c:pt idx="6">
                        <c:v>42401</c:v>
                      </c:pt>
                      <c:pt idx="7">
                        <c:v>42430</c:v>
                      </c:pt>
                      <c:pt idx="8">
                        <c:v>42461</c:v>
                      </c:pt>
                      <c:pt idx="9">
                        <c:v>42491</c:v>
                      </c:pt>
                      <c:pt idx="10">
                        <c:v>42522</c:v>
                      </c:pt>
                      <c:pt idx="11">
                        <c:v>42552</c:v>
                      </c:pt>
                      <c:pt idx="12">
                        <c:v>42583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'D&amp;CS Admin'!$C$222:$C$234</c15:sqref>
                        </c15:formulaRef>
                      </c:ext>
                    </c:extLst>
                    <c:numCache>
                      <c:formatCode>0%</c:formatCode>
                      <c:ptCount val="6"/>
                      <c:pt idx="0">
                        <c:v>0.9</c:v>
                      </c:pt>
                      <c:pt idx="1">
                        <c:v>0.9</c:v>
                      </c:pt>
                      <c:pt idx="2">
                        <c:v>0.9</c:v>
                      </c:pt>
                      <c:pt idx="3">
                        <c:v>0.9</c:v>
                      </c:pt>
                      <c:pt idx="4">
                        <c:v>0.9</c:v>
                      </c:pt>
                      <c:pt idx="5">
                        <c:v>0.9</c:v>
                      </c:pt>
                    </c:numCache>
                  </c:numRef>
                </c:val>
              </c15:ser>
            </c15:filteredBarSeries>
          </c:ext>
        </c:extLst>
      </c:barChart>
      <c:lineChart>
        <c:grouping val="standard"/>
        <c:varyColors val="0"/>
        <c:ser>
          <c:idx val="1"/>
          <c:order val="4"/>
          <c:tx>
            <c:strRef>
              <c:f>'D&amp;CS Admin'!$H$137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dLbls>
            <c:dLbl>
              <c:idx val="10"/>
              <c:layout>
                <c:manualLayout>
                  <c:x val="4.71976401179941E-3"/>
                  <c:y val="7.269639842807536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'D&amp;CS Admin'!$A$159:$A$171</c:f>
              <c:numCache>
                <c:formatCode>mmm\-yy</c:formatCode>
                <c:ptCount val="6"/>
                <c:pt idx="0">
                  <c:v>42064</c:v>
                </c:pt>
                <c:pt idx="1">
                  <c:v>42095</c:v>
                </c:pt>
                <c:pt idx="2">
                  <c:v>42125</c:v>
                </c:pt>
                <c:pt idx="3">
                  <c:v>42156</c:v>
                </c:pt>
                <c:pt idx="4">
                  <c:v>42200</c:v>
                </c:pt>
                <c:pt idx="5">
                  <c:v>42217</c:v>
                </c:pt>
              </c:numCache>
            </c:numRef>
          </c:cat>
          <c:val>
            <c:numRef>
              <c:f>'D&amp;CS Admin'!$H$234:$H$246</c:f>
              <c:numCache>
                <c:formatCode>General</c:formatCode>
                <c:ptCount val="13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45</c:v>
                </c:pt>
                <c:pt idx="7">
                  <c:v>45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45</c:v>
                </c:pt>
                <c:pt idx="12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481000"/>
        <c:axId val="345481392"/>
      </c:lineChart>
      <c:dateAx>
        <c:axId val="34548100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345481392"/>
        <c:crosses val="autoZero"/>
        <c:auto val="1"/>
        <c:lblOffset val="100"/>
        <c:baseTimeUnit val="months"/>
      </c:dateAx>
      <c:valAx>
        <c:axId val="3454813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45481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897721196065456"/>
          <c:y val="3.5118768442328079E-2"/>
          <c:w val="0.26606951701130815"/>
          <c:h val="0.1382684667121434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Process Requisitions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6739778275793882E-2"/>
          <c:y val="0.12117367618464539"/>
          <c:w val="0.88469504682421773"/>
          <c:h val="0.76091676445411927"/>
        </c:manualLayout>
      </c:layout>
      <c:lineChart>
        <c:grouping val="standard"/>
        <c:varyColors val="0"/>
        <c:ser>
          <c:idx val="0"/>
          <c:order val="0"/>
          <c:tx>
            <c:strRef>
              <c:f>'Business Services'!$B$3</c:f>
              <c:strCache>
                <c:ptCount val="1"/>
                <c:pt idx="0">
                  <c:v>% in 2 days or less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'Business Services'!$A$28:$A$53</c:f>
              <c:numCache>
                <c:formatCode>mmm\-yy</c:formatCode>
                <c:ptCount val="26"/>
                <c:pt idx="0">
                  <c:v>41609</c:v>
                </c:pt>
                <c:pt idx="1">
                  <c:v>41640</c:v>
                </c:pt>
                <c:pt idx="2">
                  <c:v>41671</c:v>
                </c:pt>
                <c:pt idx="3">
                  <c:v>41699</c:v>
                </c:pt>
                <c:pt idx="4">
                  <c:v>41730</c:v>
                </c:pt>
                <c:pt idx="5">
                  <c:v>41760</c:v>
                </c:pt>
                <c:pt idx="6">
                  <c:v>41791</c:v>
                </c:pt>
                <c:pt idx="7">
                  <c:v>41821</c:v>
                </c:pt>
                <c:pt idx="8">
                  <c:v>41852</c:v>
                </c:pt>
                <c:pt idx="9">
                  <c:v>41883</c:v>
                </c:pt>
                <c:pt idx="10">
                  <c:v>41913</c:v>
                </c:pt>
                <c:pt idx="11">
                  <c:v>41944</c:v>
                </c:pt>
                <c:pt idx="12">
                  <c:v>41974</c:v>
                </c:pt>
                <c:pt idx="13">
                  <c:v>42005</c:v>
                </c:pt>
                <c:pt idx="14">
                  <c:v>42036</c:v>
                </c:pt>
                <c:pt idx="15">
                  <c:v>42064</c:v>
                </c:pt>
                <c:pt idx="16">
                  <c:v>42095</c:v>
                </c:pt>
                <c:pt idx="17">
                  <c:v>42125</c:v>
                </c:pt>
                <c:pt idx="18">
                  <c:v>42156</c:v>
                </c:pt>
                <c:pt idx="19">
                  <c:v>42186</c:v>
                </c:pt>
                <c:pt idx="20">
                  <c:v>42217</c:v>
                </c:pt>
                <c:pt idx="21">
                  <c:v>42248</c:v>
                </c:pt>
                <c:pt idx="22">
                  <c:v>42278</c:v>
                </c:pt>
                <c:pt idx="23">
                  <c:v>42309</c:v>
                </c:pt>
                <c:pt idx="24">
                  <c:v>42339</c:v>
                </c:pt>
                <c:pt idx="25">
                  <c:v>42370</c:v>
                </c:pt>
              </c:numCache>
            </c:numRef>
          </c:cat>
          <c:val>
            <c:numRef>
              <c:f>'Business Services'!$B$28:$B$53</c:f>
              <c:numCache>
                <c:formatCode>0%</c:formatCode>
                <c:ptCount val="26"/>
                <c:pt idx="0">
                  <c:v>0.68484848484848482</c:v>
                </c:pt>
                <c:pt idx="1">
                  <c:v>0.72268907563025209</c:v>
                </c:pt>
                <c:pt idx="2">
                  <c:v>0.967741935483871</c:v>
                </c:pt>
                <c:pt idx="3">
                  <c:v>0.82914572864321612</c:v>
                </c:pt>
                <c:pt idx="4">
                  <c:v>0.91719745222929938</c:v>
                </c:pt>
                <c:pt idx="5">
                  <c:v>0.87619047619047619</c:v>
                </c:pt>
                <c:pt idx="6">
                  <c:v>0.87128712871287128</c:v>
                </c:pt>
                <c:pt idx="7">
                  <c:v>0.88059701492537312</c:v>
                </c:pt>
                <c:pt idx="8">
                  <c:v>0.81499999999999995</c:v>
                </c:pt>
                <c:pt idx="9">
                  <c:v>0.76666666666666672</c:v>
                </c:pt>
                <c:pt idx="10">
                  <c:v>0.76666666666666672</c:v>
                </c:pt>
                <c:pt idx="11">
                  <c:v>0.82352941176470584</c:v>
                </c:pt>
                <c:pt idx="12">
                  <c:v>0.55555555555555558</c:v>
                </c:pt>
                <c:pt idx="13">
                  <c:v>0.74814814814814812</c:v>
                </c:pt>
                <c:pt idx="14">
                  <c:v>0.81818181818181823</c:v>
                </c:pt>
                <c:pt idx="15">
                  <c:v>0.67</c:v>
                </c:pt>
                <c:pt idx="16">
                  <c:v>0.52</c:v>
                </c:pt>
                <c:pt idx="17">
                  <c:v>0.45</c:v>
                </c:pt>
                <c:pt idx="18">
                  <c:v>0.72</c:v>
                </c:pt>
                <c:pt idx="19">
                  <c:v>0.43</c:v>
                </c:pt>
                <c:pt idx="20">
                  <c:v>0.62</c:v>
                </c:pt>
                <c:pt idx="21">
                  <c:v>0.44</c:v>
                </c:pt>
                <c:pt idx="22">
                  <c:v>0.21</c:v>
                </c:pt>
                <c:pt idx="23">
                  <c:v>0.34</c:v>
                </c:pt>
                <c:pt idx="24">
                  <c:v>0.37</c:v>
                </c:pt>
                <c:pt idx="25">
                  <c:v>0.64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'Business Services'!$C$3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'Business Services'!$A$28:$A$53</c:f>
              <c:numCache>
                <c:formatCode>mmm\-yy</c:formatCode>
                <c:ptCount val="26"/>
                <c:pt idx="0">
                  <c:v>41609</c:v>
                </c:pt>
                <c:pt idx="1">
                  <c:v>41640</c:v>
                </c:pt>
                <c:pt idx="2">
                  <c:v>41671</c:v>
                </c:pt>
                <c:pt idx="3">
                  <c:v>41699</c:v>
                </c:pt>
                <c:pt idx="4">
                  <c:v>41730</c:v>
                </c:pt>
                <c:pt idx="5">
                  <c:v>41760</c:v>
                </c:pt>
                <c:pt idx="6">
                  <c:v>41791</c:v>
                </c:pt>
                <c:pt idx="7">
                  <c:v>41821</c:v>
                </c:pt>
                <c:pt idx="8">
                  <c:v>41852</c:v>
                </c:pt>
                <c:pt idx="9">
                  <c:v>41883</c:v>
                </c:pt>
                <c:pt idx="10">
                  <c:v>41913</c:v>
                </c:pt>
                <c:pt idx="11">
                  <c:v>41944</c:v>
                </c:pt>
                <c:pt idx="12">
                  <c:v>41974</c:v>
                </c:pt>
                <c:pt idx="13">
                  <c:v>42005</c:v>
                </c:pt>
                <c:pt idx="14">
                  <c:v>42036</c:v>
                </c:pt>
                <c:pt idx="15">
                  <c:v>42064</c:v>
                </c:pt>
                <c:pt idx="16">
                  <c:v>42095</c:v>
                </c:pt>
                <c:pt idx="17">
                  <c:v>42125</c:v>
                </c:pt>
                <c:pt idx="18">
                  <c:v>42156</c:v>
                </c:pt>
                <c:pt idx="19">
                  <c:v>42186</c:v>
                </c:pt>
                <c:pt idx="20">
                  <c:v>42217</c:v>
                </c:pt>
                <c:pt idx="21">
                  <c:v>42248</c:v>
                </c:pt>
                <c:pt idx="22">
                  <c:v>42278</c:v>
                </c:pt>
                <c:pt idx="23">
                  <c:v>42309</c:v>
                </c:pt>
                <c:pt idx="24">
                  <c:v>42339</c:v>
                </c:pt>
                <c:pt idx="25">
                  <c:v>42370</c:v>
                </c:pt>
              </c:numCache>
            </c:numRef>
          </c:cat>
          <c:val>
            <c:numRef>
              <c:f>'Business Services'!$C$28:$C$53</c:f>
              <c:numCache>
                <c:formatCode>0%</c:formatCode>
                <c:ptCount val="26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  <c:pt idx="24">
                  <c:v>0.9</c:v>
                </c:pt>
                <c:pt idx="25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482176"/>
        <c:axId val="345482568"/>
      </c:lineChart>
      <c:dateAx>
        <c:axId val="34548217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345482568"/>
        <c:crosses val="autoZero"/>
        <c:auto val="1"/>
        <c:lblOffset val="100"/>
        <c:baseTimeUnit val="months"/>
      </c:dateAx>
      <c:valAx>
        <c:axId val="345482568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345482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357413031684304"/>
          <c:y val="0.60771664880982745"/>
          <c:w val="0.20806988901113946"/>
          <c:h val="0.1041492491624292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Process Invoices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1961189617678931E-2"/>
          <c:y val="0.12850071478124328"/>
          <c:w val="0.9146121963091447"/>
          <c:h val="0.73882819159744295"/>
        </c:manualLayout>
      </c:layout>
      <c:lineChart>
        <c:grouping val="standard"/>
        <c:varyColors val="0"/>
        <c:ser>
          <c:idx val="0"/>
          <c:order val="0"/>
          <c:tx>
            <c:strRef>
              <c:f>'[1]Business Services'!$B$31:$B$32</c:f>
              <c:strCache>
                <c:ptCount val="1"/>
                <c:pt idx="0">
                  <c:v>% in 2 days or less</c:v>
                </c:pt>
              </c:strCache>
            </c:strRef>
          </c:tx>
          <c:dLbls>
            <c:dLbl>
              <c:idx val="8"/>
              <c:layout>
                <c:manualLayout>
                  <c:x val="-6.4226075786769426E-3"/>
                  <c:y val="-9.54653937947494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'Business Services'!$A$79:$A$104</c:f>
              <c:numCache>
                <c:formatCode>mmm\-yy</c:formatCode>
                <c:ptCount val="26"/>
                <c:pt idx="0">
                  <c:v>41609</c:v>
                </c:pt>
                <c:pt idx="1">
                  <c:v>41640</c:v>
                </c:pt>
                <c:pt idx="2">
                  <c:v>41671</c:v>
                </c:pt>
                <c:pt idx="3">
                  <c:v>41699</c:v>
                </c:pt>
                <c:pt idx="4">
                  <c:v>41730</c:v>
                </c:pt>
                <c:pt idx="5">
                  <c:v>41760</c:v>
                </c:pt>
                <c:pt idx="6">
                  <c:v>41791</c:v>
                </c:pt>
                <c:pt idx="7">
                  <c:v>41821</c:v>
                </c:pt>
                <c:pt idx="8">
                  <c:v>41852</c:v>
                </c:pt>
                <c:pt idx="9">
                  <c:v>41883</c:v>
                </c:pt>
                <c:pt idx="10">
                  <c:v>41913</c:v>
                </c:pt>
                <c:pt idx="11">
                  <c:v>41944</c:v>
                </c:pt>
                <c:pt idx="12">
                  <c:v>41974</c:v>
                </c:pt>
                <c:pt idx="13">
                  <c:v>42005</c:v>
                </c:pt>
                <c:pt idx="14">
                  <c:v>42036</c:v>
                </c:pt>
                <c:pt idx="15">
                  <c:v>42064</c:v>
                </c:pt>
                <c:pt idx="16">
                  <c:v>42095</c:v>
                </c:pt>
                <c:pt idx="17">
                  <c:v>42125</c:v>
                </c:pt>
                <c:pt idx="18">
                  <c:v>42156</c:v>
                </c:pt>
                <c:pt idx="19">
                  <c:v>42186</c:v>
                </c:pt>
                <c:pt idx="20">
                  <c:v>42217</c:v>
                </c:pt>
                <c:pt idx="21">
                  <c:v>42248</c:v>
                </c:pt>
                <c:pt idx="22">
                  <c:v>42278</c:v>
                </c:pt>
                <c:pt idx="23">
                  <c:v>42309</c:v>
                </c:pt>
                <c:pt idx="24">
                  <c:v>42339</c:v>
                </c:pt>
                <c:pt idx="25">
                  <c:v>42370</c:v>
                </c:pt>
              </c:numCache>
            </c:numRef>
          </c:cat>
          <c:val>
            <c:numRef>
              <c:f>'Business Services'!$B$79:$B$104</c:f>
              <c:numCache>
                <c:formatCode>0%</c:formatCode>
                <c:ptCount val="26"/>
                <c:pt idx="0">
                  <c:v>0.93922651933701662</c:v>
                </c:pt>
                <c:pt idx="1">
                  <c:v>1</c:v>
                </c:pt>
                <c:pt idx="2">
                  <c:v>0.97619047619047616</c:v>
                </c:pt>
                <c:pt idx="3">
                  <c:v>0.98194945848375448</c:v>
                </c:pt>
                <c:pt idx="4">
                  <c:v>1</c:v>
                </c:pt>
                <c:pt idx="5">
                  <c:v>0.99437412095639943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0.99860917941585536</c:v>
                </c:pt>
                <c:pt idx="10">
                  <c:v>0.77519379844961245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'Business Services'!$C$55:$C$56</c:f>
              <c:strCache>
                <c:ptCount val="2"/>
                <c:pt idx="0">
                  <c:v>Process Invoices</c:v>
                </c:pt>
                <c:pt idx="1">
                  <c:v>Goal</c:v>
                </c:pt>
              </c:strCache>
            </c:strRef>
          </c:tx>
          <c:cat>
            <c:numRef>
              <c:f>'Business Services'!$A$79:$A$104</c:f>
              <c:numCache>
                <c:formatCode>mmm\-yy</c:formatCode>
                <c:ptCount val="26"/>
                <c:pt idx="0">
                  <c:v>41609</c:v>
                </c:pt>
                <c:pt idx="1">
                  <c:v>41640</c:v>
                </c:pt>
                <c:pt idx="2">
                  <c:v>41671</c:v>
                </c:pt>
                <c:pt idx="3">
                  <c:v>41699</c:v>
                </c:pt>
                <c:pt idx="4">
                  <c:v>41730</c:v>
                </c:pt>
                <c:pt idx="5">
                  <c:v>41760</c:v>
                </c:pt>
                <c:pt idx="6">
                  <c:v>41791</c:v>
                </c:pt>
                <c:pt idx="7">
                  <c:v>41821</c:v>
                </c:pt>
                <c:pt idx="8">
                  <c:v>41852</c:v>
                </c:pt>
                <c:pt idx="9">
                  <c:v>41883</c:v>
                </c:pt>
                <c:pt idx="10">
                  <c:v>41913</c:v>
                </c:pt>
                <c:pt idx="11">
                  <c:v>41944</c:v>
                </c:pt>
                <c:pt idx="12">
                  <c:v>41974</c:v>
                </c:pt>
                <c:pt idx="13">
                  <c:v>42005</c:v>
                </c:pt>
                <c:pt idx="14">
                  <c:v>42036</c:v>
                </c:pt>
                <c:pt idx="15">
                  <c:v>42064</c:v>
                </c:pt>
                <c:pt idx="16">
                  <c:v>42095</c:v>
                </c:pt>
                <c:pt idx="17">
                  <c:v>42125</c:v>
                </c:pt>
                <c:pt idx="18">
                  <c:v>42156</c:v>
                </c:pt>
                <c:pt idx="19">
                  <c:v>42186</c:v>
                </c:pt>
                <c:pt idx="20">
                  <c:v>42217</c:v>
                </c:pt>
                <c:pt idx="21">
                  <c:v>42248</c:v>
                </c:pt>
                <c:pt idx="22">
                  <c:v>42278</c:v>
                </c:pt>
                <c:pt idx="23">
                  <c:v>42309</c:v>
                </c:pt>
                <c:pt idx="24">
                  <c:v>42339</c:v>
                </c:pt>
                <c:pt idx="25">
                  <c:v>42370</c:v>
                </c:pt>
              </c:numCache>
            </c:numRef>
          </c:cat>
          <c:val>
            <c:numRef>
              <c:f>'Business Services'!$C$79:$C$104</c:f>
              <c:numCache>
                <c:formatCode>0%</c:formatCode>
                <c:ptCount val="26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  <c:pt idx="24">
                  <c:v>0.9</c:v>
                </c:pt>
                <c:pt idx="25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483352"/>
        <c:axId val="345483744"/>
      </c:lineChart>
      <c:dateAx>
        <c:axId val="3454833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345483744"/>
        <c:crosses val="autoZero"/>
        <c:auto val="1"/>
        <c:lblOffset val="100"/>
        <c:baseTimeUnit val="months"/>
      </c:dateAx>
      <c:valAx>
        <c:axId val="345483744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345483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070204226695614"/>
          <c:y val="0.4523732059832421"/>
          <c:w val="0.22099339649385977"/>
          <c:h val="0.1104468675268088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FY16 Monthly Budget to Actual         </a:t>
            </a:r>
            <a:r>
              <a:rPr lang="en-US" sz="1400"/>
              <a:t>(Areas in Orange are Estimates)</a:t>
            </a:r>
            <a:endParaRPr lang="en-US"/>
          </a:p>
        </c:rich>
      </c:tx>
      <c:layout>
        <c:manualLayout>
          <c:xMode val="edge"/>
          <c:yMode val="edge"/>
          <c:x val="0.27521546581755657"/>
          <c:y val="2.7224774544835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998058073523889E-2"/>
          <c:y val="0.14415059628337826"/>
          <c:w val="0.89150029176145962"/>
          <c:h val="0.642986892825447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'FY15 Utilities'!$F$4</c:f>
              <c:strCache>
                <c:ptCount val="1"/>
                <c:pt idx="0">
                  <c:v>Budget Current Month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'FY15 Utilities'!$E$6:$E$17</c:f>
              <c:strCache>
                <c:ptCount val="12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  <c:pt idx="6">
                  <c:v>April</c:v>
                </c:pt>
                <c:pt idx="7">
                  <c:v>May</c:v>
                </c:pt>
                <c:pt idx="8">
                  <c:v>June</c:v>
                </c:pt>
                <c:pt idx="9">
                  <c:v>July</c:v>
                </c:pt>
                <c:pt idx="10">
                  <c:v>August</c:v>
                </c:pt>
                <c:pt idx="11">
                  <c:v>September</c:v>
                </c:pt>
              </c:strCache>
            </c:strRef>
          </c:cat>
          <c:val>
            <c:numRef>
              <c:f>'FY15 Utilities'!$F$6:$F$17</c:f>
              <c:numCache>
                <c:formatCode>"$"#,##0</c:formatCode>
                <c:ptCount val="12"/>
                <c:pt idx="0">
                  <c:v>1621139.9383413305</c:v>
                </c:pt>
                <c:pt idx="1">
                  <c:v>1672164.3526752368</c:v>
                </c:pt>
                <c:pt idx="2">
                  <c:v>1829854.1343614738</c:v>
                </c:pt>
                <c:pt idx="3">
                  <c:v>1930093.9814695236</c:v>
                </c:pt>
                <c:pt idx="4">
                  <c:v>1875065.3782842199</c:v>
                </c:pt>
                <c:pt idx="5">
                  <c:v>1743582.2481834574</c:v>
                </c:pt>
                <c:pt idx="6">
                  <c:v>1613026.7086903236</c:v>
                </c:pt>
                <c:pt idx="7">
                  <c:v>1713733.7091642576</c:v>
                </c:pt>
                <c:pt idx="8">
                  <c:v>1949433.1044762426</c:v>
                </c:pt>
                <c:pt idx="9">
                  <c:v>2222499.5738683837</c:v>
                </c:pt>
                <c:pt idx="10">
                  <c:v>2123079.8891187129</c:v>
                </c:pt>
                <c:pt idx="11">
                  <c:v>1742675.9813668407</c:v>
                </c:pt>
              </c:numCache>
            </c:numRef>
          </c:val>
        </c:ser>
        <c:ser>
          <c:idx val="1"/>
          <c:order val="1"/>
          <c:tx>
            <c:strRef>
              <c:f>'FY16 Utilities'!$H$5</c:f>
              <c:strCache>
                <c:ptCount val="1"/>
                <c:pt idx="0">
                  <c:v>Actual Current Month</c:v>
                </c:pt>
              </c:strCache>
            </c:strRef>
          </c:tx>
          <c:spPr>
            <a:solidFill>
              <a:srgbClr val="339966"/>
            </a:solidFill>
          </c:spPr>
          <c:invertIfNegative val="0"/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9900"/>
              </a:solidFill>
            </c:spPr>
          </c:dPt>
          <c:cat>
            <c:strRef>
              <c:f>'FY15 Utilities'!$E$6:$E$17</c:f>
              <c:strCache>
                <c:ptCount val="12"/>
                <c:pt idx="0">
                  <c:v>October</c:v>
                </c:pt>
                <c:pt idx="1">
                  <c:v>November</c:v>
                </c:pt>
                <c:pt idx="2">
                  <c:v>December</c:v>
                </c:pt>
                <c:pt idx="3">
                  <c:v>January</c:v>
                </c:pt>
                <c:pt idx="4">
                  <c:v>February</c:v>
                </c:pt>
                <c:pt idx="5">
                  <c:v>March</c:v>
                </c:pt>
                <c:pt idx="6">
                  <c:v>April</c:v>
                </c:pt>
                <c:pt idx="7">
                  <c:v>May</c:v>
                </c:pt>
                <c:pt idx="8">
                  <c:v>June</c:v>
                </c:pt>
                <c:pt idx="9">
                  <c:v>July</c:v>
                </c:pt>
                <c:pt idx="10">
                  <c:v>August</c:v>
                </c:pt>
                <c:pt idx="11">
                  <c:v>September</c:v>
                </c:pt>
              </c:strCache>
            </c:strRef>
          </c:cat>
          <c:val>
            <c:numRef>
              <c:f>'FY16 Utilities'!$H$7:$H$18</c:f>
              <c:numCache>
                <c:formatCode>"$"#,##0</c:formatCode>
                <c:ptCount val="12"/>
                <c:pt idx="0">
                  <c:v>1440998.7866666666</c:v>
                </c:pt>
                <c:pt idx="1">
                  <c:v>1425131.4266666668</c:v>
                </c:pt>
                <c:pt idx="2">
                  <c:v>1455301.0466666666</c:v>
                </c:pt>
                <c:pt idx="3">
                  <c:v>1520487.7966666666</c:v>
                </c:pt>
                <c:pt idx="4">
                  <c:v>1554380.7966666666</c:v>
                </c:pt>
                <c:pt idx="5">
                  <c:v>1340838.2766666668</c:v>
                </c:pt>
                <c:pt idx="6">
                  <c:v>1427124.0999999999</c:v>
                </c:pt>
                <c:pt idx="7">
                  <c:v>1442600</c:v>
                </c:pt>
                <c:pt idx="8">
                  <c:v>1644359.8199999998</c:v>
                </c:pt>
                <c:pt idx="9">
                  <c:v>1853474</c:v>
                </c:pt>
                <c:pt idx="10">
                  <c:v>1919936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345275792"/>
        <c:axId val="345276184"/>
      </c:barChart>
      <c:catAx>
        <c:axId val="3452757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45276184"/>
        <c:crosses val="autoZero"/>
        <c:auto val="1"/>
        <c:lblAlgn val="ctr"/>
        <c:lblOffset val="100"/>
        <c:noMultiLvlLbl val="0"/>
      </c:catAx>
      <c:valAx>
        <c:axId val="345276184"/>
        <c:scaling>
          <c:orientation val="minMax"/>
        </c:scaling>
        <c:delete val="0"/>
        <c:axPos val="l"/>
        <c:majorGridlines/>
        <c:numFmt formatCode="&quot;$&quot;#,##0" sourceLinked="0"/>
        <c:majorTickMark val="none"/>
        <c:minorTickMark val="none"/>
        <c:tickLblPos val="nextTo"/>
        <c:spPr>
          <a:ln w="9525">
            <a:noFill/>
          </a:ln>
        </c:spPr>
        <c:crossAx val="34527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771744049235225"/>
          <c:y val="0.88323770679744151"/>
          <c:w val="0.41692664994162792"/>
          <c:h val="7.4447120116055573E-2"/>
        </c:manualLayout>
      </c:layout>
      <c:overlay val="0"/>
      <c:txPr>
        <a:bodyPr/>
        <a:lstStyle/>
        <a:p>
          <a:pPr>
            <a:defRPr sz="13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FY16 Year to Date Actual to Budget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177037437107364"/>
          <c:y val="0.14068057189942532"/>
          <c:w val="0.85168329590570135"/>
          <c:h val="0.66161107995903723"/>
        </c:manualLayout>
      </c:layout>
      <c:lineChart>
        <c:grouping val="standard"/>
        <c:varyColors val="0"/>
        <c:ser>
          <c:idx val="1"/>
          <c:order val="0"/>
          <c:tx>
            <c:strRef>
              <c:f>'FY16 Utilities'!$G$5</c:f>
              <c:strCache>
                <c:ptCount val="1"/>
                <c:pt idx="0">
                  <c:v>Budget YTD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9109506618531888E-2"/>
                  <c:y val="-4.34637245068538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9193742478940987E-2"/>
                  <c:y val="-5.0150451354062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7.6714801444043315E-2"/>
                  <c:y val="-4.34637245068538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9.0252707581227554E-2"/>
                  <c:y val="-2.3403543965228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6.4681107099879773E-2"/>
                  <c:y val="-1.0030090270812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'FY16 Utilities'!$E$6:$E$18</c:f>
              <c:strCache>
                <c:ptCount val="13"/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  <c:pt idx="10">
                  <c:v>July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'FY16 Utilities'!$G$6:$G$18</c:f>
              <c:numCache>
                <c:formatCode>"$"#,##0</c:formatCode>
                <c:ptCount val="13"/>
                <c:pt idx="1">
                  <c:v>1713533.446304101</c:v>
                </c:pt>
                <c:pt idx="2">
                  <c:v>3480999.3375942176</c:v>
                </c:pt>
                <c:pt idx="3">
                  <c:v>5415142.2125728745</c:v>
                </c:pt>
                <c:pt idx="4">
                  <c:v>7455237.8968122751</c:v>
                </c:pt>
                <c:pt idx="5">
                  <c:v>9437168.7367767952</c:v>
                </c:pt>
                <c:pt idx="6">
                  <c:v>11280122.838383412</c:v>
                </c:pt>
                <c:pt idx="7">
                  <c:v>12985080.658342281</c:v>
                </c:pt>
                <c:pt idx="8">
                  <c:v>14796485.065364825</c:v>
                </c:pt>
                <c:pt idx="9">
                  <c:v>16857022.065810468</c:v>
                </c:pt>
                <c:pt idx="10">
                  <c:v>19206188.392633911</c:v>
                </c:pt>
                <c:pt idx="11">
                  <c:v>21450268.816007297</c:v>
                </c:pt>
                <c:pt idx="12">
                  <c:v>23292265.000000004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'FY16 Utilities'!$I$5</c:f>
              <c:strCache>
                <c:ptCount val="1"/>
                <c:pt idx="0">
                  <c:v>Actual YTD</c:v>
                </c:pt>
              </c:strCache>
            </c:strRef>
          </c:tx>
          <c:marker>
            <c:symbol val="none"/>
          </c:marker>
          <c:cat>
            <c:strRef>
              <c:f>'FY16 Utilities'!$E$6:$E$18</c:f>
              <c:strCache>
                <c:ptCount val="13"/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  <c:pt idx="10">
                  <c:v>July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'FY16 Utilities'!$I$6:$I$18</c:f>
              <c:numCache>
                <c:formatCode>"$"#,##0</c:formatCode>
                <c:ptCount val="13"/>
                <c:pt idx="1">
                  <c:v>1440998.7866666666</c:v>
                </c:pt>
                <c:pt idx="2">
                  <c:v>2866130.2133333334</c:v>
                </c:pt>
                <c:pt idx="3">
                  <c:v>4321431.26</c:v>
                </c:pt>
                <c:pt idx="4">
                  <c:v>5841919.0566666666</c:v>
                </c:pt>
                <c:pt idx="5">
                  <c:v>7396299.8533333335</c:v>
                </c:pt>
                <c:pt idx="6">
                  <c:v>8737138.1300000008</c:v>
                </c:pt>
                <c:pt idx="7">
                  <c:v>10164262.23</c:v>
                </c:pt>
                <c:pt idx="8">
                  <c:v>11606862.23</c:v>
                </c:pt>
                <c:pt idx="9">
                  <c:v>13251222.050000001</c:v>
                </c:pt>
                <c:pt idx="10">
                  <c:v>15104696.050000001</c:v>
                </c:pt>
                <c:pt idx="11">
                  <c:v>17024632.050000001</c:v>
                </c:pt>
                <c:pt idx="12">
                  <c:v>17024632.050000001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5276968"/>
        <c:axId val="345277360"/>
      </c:lineChart>
      <c:catAx>
        <c:axId val="3452769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45277360"/>
        <c:crosses val="autoZero"/>
        <c:auto val="1"/>
        <c:lblAlgn val="ctr"/>
        <c:lblOffset val="100"/>
        <c:noMultiLvlLbl val="0"/>
      </c:catAx>
      <c:valAx>
        <c:axId val="345277360"/>
        <c:scaling>
          <c:orientation val="minMax"/>
        </c:scaling>
        <c:delete val="0"/>
        <c:axPos val="l"/>
        <c:majorGridlines/>
        <c:numFmt formatCode="&quot;$&quot;#,##0" sourceLinked="0"/>
        <c:majorTickMark val="none"/>
        <c:minorTickMark val="none"/>
        <c:tickLblPos val="nextTo"/>
        <c:crossAx val="3452769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831306491881275"/>
          <c:y val="0.90610869478226885"/>
          <c:w val="0.26169207704269065"/>
          <c:h val="7.0882337063400871E-2"/>
        </c:manualLayout>
      </c:layout>
      <c:overlay val="0"/>
      <c:txPr>
        <a:bodyPr/>
        <a:lstStyle/>
        <a:p>
          <a:pPr>
            <a:defRPr sz="13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Heating Degree Days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711855895896322"/>
          <c:y val="0.14889440571520954"/>
          <c:w val="0.82800581915049165"/>
          <c:h val="0.64185376509464953"/>
        </c:manualLayout>
      </c:layout>
      <c:lineChart>
        <c:grouping val="standard"/>
        <c:varyColors val="0"/>
        <c:ser>
          <c:idx val="0"/>
          <c:order val="0"/>
          <c:tx>
            <c:strRef>
              <c:f>[2]Calculations!$I$63</c:f>
              <c:strCache>
                <c:ptCount val="1"/>
                <c:pt idx="0">
                  <c:v>10 Yr Ave</c:v>
                </c:pt>
              </c:strCache>
            </c:strRef>
          </c:tx>
          <c:marker>
            <c:symbol val="none"/>
          </c:marker>
          <c:cat>
            <c:strRef>
              <c:f>[2]Calculations!$J$62:$U$62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[2]Calculations!$J$63:$U$63</c:f>
              <c:numCache>
                <c:formatCode>General</c:formatCode>
                <c:ptCount val="12"/>
                <c:pt idx="0">
                  <c:v>395.9</c:v>
                </c:pt>
                <c:pt idx="1">
                  <c:v>669.5</c:v>
                </c:pt>
                <c:pt idx="2">
                  <c:v>1097</c:v>
                </c:pt>
                <c:pt idx="3">
                  <c:v>1218.9000000000001</c:v>
                </c:pt>
                <c:pt idx="4">
                  <c:v>1072.5</c:v>
                </c:pt>
                <c:pt idx="5">
                  <c:v>858.4</c:v>
                </c:pt>
                <c:pt idx="6">
                  <c:v>446</c:v>
                </c:pt>
                <c:pt idx="7">
                  <c:v>219.2</c:v>
                </c:pt>
                <c:pt idx="8">
                  <c:v>22.5</c:v>
                </c:pt>
                <c:pt idx="9">
                  <c:v>2.8</c:v>
                </c:pt>
                <c:pt idx="10">
                  <c:v>4.5999999999999996</c:v>
                </c:pt>
                <c:pt idx="11">
                  <c:v>78.5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[2]Calculations!$I$64</c:f>
              <c:strCache>
                <c:ptCount val="1"/>
                <c:pt idx="0">
                  <c:v>FY12 YTD</c:v>
                </c:pt>
              </c:strCache>
            </c:strRef>
          </c:tx>
          <c:marker>
            <c:symbol val="none"/>
          </c:marker>
          <c:cat>
            <c:strRef>
              <c:f>[2]Calculations!$J$62:$U$62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[2]Calculations!$J$64:$U$64</c:f>
              <c:numCache>
                <c:formatCode>General</c:formatCode>
                <c:ptCount val="12"/>
                <c:pt idx="0">
                  <c:v>331</c:v>
                </c:pt>
                <c:pt idx="1">
                  <c:v>550</c:v>
                </c:pt>
                <c:pt idx="2">
                  <c:v>909</c:v>
                </c:pt>
                <c:pt idx="3">
                  <c:v>1057</c:v>
                </c:pt>
                <c:pt idx="4">
                  <c:v>936</c:v>
                </c:pt>
                <c:pt idx="5">
                  <c:v>459</c:v>
                </c:pt>
                <c:pt idx="6">
                  <c:v>468</c:v>
                </c:pt>
                <c:pt idx="7">
                  <c:v>82</c:v>
                </c:pt>
                <c:pt idx="8">
                  <c:v>19</c:v>
                </c:pt>
                <c:pt idx="9">
                  <c:v>0</c:v>
                </c:pt>
                <c:pt idx="10">
                  <c:v>1</c:v>
                </c:pt>
                <c:pt idx="11">
                  <c:v>116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5278144"/>
        <c:axId val="345278536"/>
      </c:lineChart>
      <c:catAx>
        <c:axId val="3452781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45278536"/>
        <c:crosses val="autoZero"/>
        <c:auto val="1"/>
        <c:lblAlgn val="ctr"/>
        <c:lblOffset val="100"/>
        <c:noMultiLvlLbl val="0"/>
      </c:catAx>
      <c:valAx>
        <c:axId val="3452785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Heating Degree Days</a:t>
                </a:r>
              </a:p>
            </c:rich>
          </c:tx>
          <c:layout>
            <c:manualLayout>
              <c:xMode val="edge"/>
              <c:yMode val="edge"/>
              <c:x val="3.1196202238627912E-2"/>
              <c:y val="0.3113730210475289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3452781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738793505628689"/>
          <c:y val="0.90062663345425864"/>
          <c:w val="0.43391685096350813"/>
          <c:h val="6.3987662370229195E-2"/>
        </c:manualLayout>
      </c:layout>
      <c:overlay val="0"/>
    </c:legend>
    <c:plotVisOnly val="1"/>
    <c:dispBlanksAs val="gap"/>
    <c:showDLblsOverMax val="0"/>
  </c:chart>
  <c:printSettings>
    <c:headerFooter>
      <c:oddFooter>&amp;L&amp;F&amp;CPrinted on &amp;D&amp;RLarry S. Fodor</c:oddFooter>
    </c:headerFooter>
    <c:pageMargins b="0.75000000000000122" l="0.70000000000000062" r="0.70000000000000062" t="0.75000000000000122" header="0.30000000000000032" footer="0.30000000000000032"/>
    <c:pageSetup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Cooling Degree Days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123030602101169"/>
          <c:y val="0.14857895146581254"/>
          <c:w val="0.86379240060932583"/>
          <c:h val="0.64261254949063551"/>
        </c:manualLayout>
      </c:layout>
      <c:lineChart>
        <c:grouping val="standard"/>
        <c:varyColors val="0"/>
        <c:ser>
          <c:idx val="0"/>
          <c:order val="0"/>
          <c:tx>
            <c:strRef>
              <c:f>[2]Calculations!$I$57</c:f>
              <c:strCache>
                <c:ptCount val="1"/>
                <c:pt idx="0">
                  <c:v>10 Yr Ave</c:v>
                </c:pt>
              </c:strCache>
            </c:strRef>
          </c:tx>
          <c:marker>
            <c:symbol val="none"/>
          </c:marker>
          <c:cat>
            <c:strRef>
              <c:f>[2]Calculations!$J$56:$U$56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[2]Calculations!$J$57:$U$57</c:f>
              <c:numCache>
                <c:formatCode>General</c:formatCode>
                <c:ptCount val="12"/>
                <c:pt idx="0">
                  <c:v>12.9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</c:v>
                </c:pt>
                <c:pt idx="6">
                  <c:v>8</c:v>
                </c:pt>
                <c:pt idx="7">
                  <c:v>41.4</c:v>
                </c:pt>
                <c:pt idx="8">
                  <c:v>175.7</c:v>
                </c:pt>
                <c:pt idx="9">
                  <c:v>295.7</c:v>
                </c:pt>
                <c:pt idx="10">
                  <c:v>249.5</c:v>
                </c:pt>
                <c:pt idx="11">
                  <c:v>95.3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[2]Calculations!$I$58</c:f>
              <c:strCache>
                <c:ptCount val="1"/>
                <c:pt idx="0">
                  <c:v>FY12 YTD</c:v>
                </c:pt>
              </c:strCache>
            </c:strRef>
          </c:tx>
          <c:marker>
            <c:symbol val="none"/>
          </c:marker>
          <c:cat>
            <c:strRef>
              <c:f>[2]Calculations!$J$56:$U$56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[2]Calculations!$J$58:$U$58</c:f>
              <c:numCache>
                <c:formatCode>General</c:formatCode>
                <c:ptCount val="12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17</c:v>
                </c:pt>
                <c:pt idx="6">
                  <c:v>3</c:v>
                </c:pt>
                <c:pt idx="7">
                  <c:v>95</c:v>
                </c:pt>
                <c:pt idx="8">
                  <c:v>240</c:v>
                </c:pt>
                <c:pt idx="9">
                  <c:v>439</c:v>
                </c:pt>
                <c:pt idx="10">
                  <c:v>253</c:v>
                </c:pt>
                <c:pt idx="11">
                  <c:v>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5279320"/>
        <c:axId val="346128320"/>
      </c:lineChart>
      <c:catAx>
        <c:axId val="3452793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46128320"/>
        <c:crosses val="autoZero"/>
        <c:auto val="1"/>
        <c:lblAlgn val="ctr"/>
        <c:lblOffset val="100"/>
        <c:noMultiLvlLbl val="0"/>
      </c:catAx>
      <c:valAx>
        <c:axId val="346128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Cooling Degree Days</a:t>
                </a:r>
              </a:p>
            </c:rich>
          </c:tx>
          <c:layout>
            <c:manualLayout>
              <c:xMode val="edge"/>
              <c:yMode val="edge"/>
              <c:x val="1.088773984995749E-2"/>
              <c:y val="0.3123109346501184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3452793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377144614416375"/>
          <c:y val="0.91496146403309764"/>
          <c:w val="0.45612632038161482"/>
          <c:h val="6.3852095288936497E-2"/>
        </c:manualLayout>
      </c:layout>
      <c:overlay val="0"/>
    </c:legend>
    <c:plotVisOnly val="1"/>
    <c:dispBlanksAs val="gap"/>
    <c:showDLblsOverMax val="0"/>
  </c:chart>
  <c:printSettings>
    <c:headerFooter>
      <c:oddFooter>&amp;L&amp;F&amp;CPrinted on &amp;D&amp;RLarry S. Fodor</c:oddFooter>
    </c:headerFooter>
    <c:pageMargins b="0.75000000000000122" l="0.70000000000000062" r="0.70000000000000062" t="0.75000000000000122" header="0.30000000000000032" footer="0.30000000000000032"/>
    <c:pageSetup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FY16 Cooling Degree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[3]Calculations!$I$44</c:f>
              <c:strCache>
                <c:ptCount val="1"/>
                <c:pt idx="0">
                  <c:v>10 Yr Ave</c:v>
                </c:pt>
              </c:strCache>
            </c:strRef>
          </c:tx>
          <c:marker>
            <c:symbol val="none"/>
          </c:marker>
          <c:cat>
            <c:strRef>
              <c:f>[3]Calculations!$J$43:$U$43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[3]Calculations!$J$44:$U$44</c:f>
              <c:numCache>
                <c:formatCode>General</c:formatCode>
                <c:ptCount val="12"/>
                <c:pt idx="0">
                  <c:v>11.4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1.9</c:v>
                </c:pt>
                <c:pt idx="6">
                  <c:v>4.2</c:v>
                </c:pt>
                <c:pt idx="7">
                  <c:v>70.8</c:v>
                </c:pt>
                <c:pt idx="8">
                  <c:v>181.3</c:v>
                </c:pt>
                <c:pt idx="9">
                  <c:v>298.10000000000002</c:v>
                </c:pt>
                <c:pt idx="10">
                  <c:v>246.9</c:v>
                </c:pt>
                <c:pt idx="11">
                  <c:v>83.7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[3]Calculations!$I$45</c:f>
              <c:strCache>
                <c:ptCount val="1"/>
                <c:pt idx="0">
                  <c:v>FY15 YTD</c:v>
                </c:pt>
              </c:strCache>
            </c:strRef>
          </c:tx>
          <c:marker>
            <c:symbol val="none"/>
          </c:marker>
          <c:cat>
            <c:strRef>
              <c:f>[3]Calculations!$J$43:$U$43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[3]Calculations!$J$45:$U$45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77</c:v>
                </c:pt>
                <c:pt idx="8">
                  <c:v>202</c:v>
                </c:pt>
                <c:pt idx="9">
                  <c:v>366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6129104"/>
        <c:axId val="346129496"/>
      </c:lineChart>
      <c:catAx>
        <c:axId val="3461291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46129496"/>
        <c:crosses val="autoZero"/>
        <c:auto val="1"/>
        <c:lblAlgn val="ctr"/>
        <c:lblOffset val="100"/>
        <c:noMultiLvlLbl val="0"/>
      </c:catAx>
      <c:valAx>
        <c:axId val="3461294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3461291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FY16 Heating Degree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[3]Calculations!$I$50</c:f>
              <c:strCache>
                <c:ptCount val="1"/>
                <c:pt idx="0">
                  <c:v>10 Yr Ave</c:v>
                </c:pt>
              </c:strCache>
            </c:strRef>
          </c:tx>
          <c:marker>
            <c:symbol val="none"/>
          </c:marker>
          <c:cat>
            <c:strRef>
              <c:f>[3]Calculations!$J$49:$U$49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[3]Calculations!$J$50:$U$50</c:f>
              <c:numCache>
                <c:formatCode>General</c:formatCode>
                <c:ptCount val="12"/>
                <c:pt idx="0">
                  <c:v>386</c:v>
                </c:pt>
                <c:pt idx="1">
                  <c:v>701.4</c:v>
                </c:pt>
                <c:pt idx="2">
                  <c:v>1076.9000000000001</c:v>
                </c:pt>
                <c:pt idx="3">
                  <c:v>1196.4000000000001</c:v>
                </c:pt>
                <c:pt idx="4">
                  <c:v>1092.7</c:v>
                </c:pt>
                <c:pt idx="5">
                  <c:v>848.4</c:v>
                </c:pt>
                <c:pt idx="6">
                  <c:v>471.2</c:v>
                </c:pt>
                <c:pt idx="7">
                  <c:v>174.1</c:v>
                </c:pt>
                <c:pt idx="8">
                  <c:v>22.1</c:v>
                </c:pt>
                <c:pt idx="9">
                  <c:v>4.5999999999999996</c:v>
                </c:pt>
                <c:pt idx="10">
                  <c:v>5.7</c:v>
                </c:pt>
                <c:pt idx="11">
                  <c:v>93.2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[3]Calculations!$I$51</c:f>
              <c:strCache>
                <c:ptCount val="1"/>
                <c:pt idx="0">
                  <c:v>FY15 YTD</c:v>
                </c:pt>
              </c:strCache>
            </c:strRef>
          </c:tx>
          <c:marker>
            <c:symbol val="none"/>
          </c:marker>
          <c:cat>
            <c:strRef>
              <c:f>[3]Calculations!$J$49:$U$49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[3]Calculations!$J$51:$U$51</c:f>
              <c:numCache>
                <c:formatCode>General</c:formatCode>
                <c:ptCount val="12"/>
                <c:pt idx="0">
                  <c:v>321</c:v>
                </c:pt>
                <c:pt idx="1">
                  <c:v>566</c:v>
                </c:pt>
                <c:pt idx="2">
                  <c:v>734</c:v>
                </c:pt>
                <c:pt idx="3">
                  <c:v>1132</c:v>
                </c:pt>
                <c:pt idx="4">
                  <c:v>974</c:v>
                </c:pt>
                <c:pt idx="5">
                  <c:v>676</c:v>
                </c:pt>
                <c:pt idx="6">
                  <c:v>102</c:v>
                </c:pt>
                <c:pt idx="7">
                  <c:v>196</c:v>
                </c:pt>
                <c:pt idx="8">
                  <c:v>14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6130280"/>
        <c:axId val="346130672"/>
      </c:lineChart>
      <c:catAx>
        <c:axId val="3461302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46130672"/>
        <c:crosses val="autoZero"/>
        <c:auto val="1"/>
        <c:lblAlgn val="ctr"/>
        <c:lblOffset val="100"/>
        <c:noMultiLvlLbl val="0"/>
      </c:catAx>
      <c:valAx>
        <c:axId val="3461306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3461302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FY15 Monthly Budget to Actual         </a:t>
            </a:r>
            <a:r>
              <a:rPr lang="en-US" sz="1400"/>
              <a:t>(Areas in Orange are Estimates)</a:t>
            </a:r>
            <a:endParaRPr lang="en-US"/>
          </a:p>
        </c:rich>
      </c:tx>
      <c:layout>
        <c:manualLayout>
          <c:xMode val="edge"/>
          <c:yMode val="edge"/>
          <c:x val="0.27521546581755657"/>
          <c:y val="2.7224774544835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998058073523889E-2"/>
          <c:y val="0.14415059628337826"/>
          <c:w val="0.89150029176145962"/>
          <c:h val="0.642986892825447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'FY15 Utilities'!$F$4</c:f>
              <c:strCache>
                <c:ptCount val="1"/>
                <c:pt idx="0">
                  <c:v>Budget Current Month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'FY15 Utilities'!$E$5:$E$17</c:f>
              <c:strCache>
                <c:ptCount val="13"/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  <c:pt idx="10">
                  <c:v>July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'FY15 Utilities'!$F$5:$F$17</c:f>
              <c:numCache>
                <c:formatCode>"$"#,##0</c:formatCode>
                <c:ptCount val="13"/>
                <c:pt idx="1">
                  <c:v>1621139.9383413305</c:v>
                </c:pt>
                <c:pt idx="2">
                  <c:v>1672164.3526752368</c:v>
                </c:pt>
                <c:pt idx="3">
                  <c:v>1829854.1343614738</c:v>
                </c:pt>
                <c:pt idx="4">
                  <c:v>1930093.9814695236</c:v>
                </c:pt>
                <c:pt idx="5">
                  <c:v>1875065.3782842199</c:v>
                </c:pt>
                <c:pt idx="6">
                  <c:v>1743582.2481834574</c:v>
                </c:pt>
                <c:pt idx="7">
                  <c:v>1613026.7086903236</c:v>
                </c:pt>
                <c:pt idx="8">
                  <c:v>1713733.7091642576</c:v>
                </c:pt>
                <c:pt idx="9">
                  <c:v>1949433.1044762426</c:v>
                </c:pt>
                <c:pt idx="10">
                  <c:v>2222499.5738683837</c:v>
                </c:pt>
                <c:pt idx="11">
                  <c:v>2123079.8891187129</c:v>
                </c:pt>
                <c:pt idx="12">
                  <c:v>1742675.9813668407</c:v>
                </c:pt>
              </c:numCache>
            </c:numRef>
          </c:val>
        </c:ser>
        <c:ser>
          <c:idx val="1"/>
          <c:order val="1"/>
          <c:tx>
            <c:strRef>
              <c:f>'FY15 Utilities'!$H$4</c:f>
              <c:strCache>
                <c:ptCount val="1"/>
                <c:pt idx="0">
                  <c:v>Actual Current Month</c:v>
                </c:pt>
              </c:strCache>
            </c:strRef>
          </c:tx>
          <c:spPr>
            <a:solidFill>
              <a:srgbClr val="339966"/>
            </a:solidFill>
          </c:spPr>
          <c:invertIfNegative val="0"/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9900"/>
              </a:solidFill>
            </c:spPr>
          </c:dPt>
          <c:cat>
            <c:strRef>
              <c:f>'FY15 Utilities'!$E$5:$E$17</c:f>
              <c:strCache>
                <c:ptCount val="13"/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  <c:pt idx="10">
                  <c:v>July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'FY15 Utilities'!$H$5:$H$17</c:f>
              <c:numCache>
                <c:formatCode>"$"#,##0</c:formatCode>
                <c:ptCount val="13"/>
                <c:pt idx="1">
                  <c:v>1809497.9366666668</c:v>
                </c:pt>
                <c:pt idx="2">
                  <c:v>1366909.8066666666</c:v>
                </c:pt>
                <c:pt idx="3">
                  <c:v>1924973.5366666669</c:v>
                </c:pt>
                <c:pt idx="4">
                  <c:v>1672390.4233333333</c:v>
                </c:pt>
                <c:pt idx="5">
                  <c:v>1691870.7366666668</c:v>
                </c:pt>
                <c:pt idx="6">
                  <c:v>1700906.9266666668</c:v>
                </c:pt>
                <c:pt idx="7">
                  <c:v>1299266.3566666667</c:v>
                </c:pt>
                <c:pt idx="8">
                  <c:v>1593426.3266666667</c:v>
                </c:pt>
                <c:pt idx="9">
                  <c:v>1513038.5666666669</c:v>
                </c:pt>
                <c:pt idx="10">
                  <c:v>1630281.33</c:v>
                </c:pt>
                <c:pt idx="11">
                  <c:v>1607037.1099999999</c:v>
                </c:pt>
                <c:pt idx="12">
                  <c:v>1475993.22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346131456"/>
        <c:axId val="346131848"/>
      </c:barChart>
      <c:catAx>
        <c:axId val="3461314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46131848"/>
        <c:crosses val="autoZero"/>
        <c:auto val="1"/>
        <c:lblAlgn val="ctr"/>
        <c:lblOffset val="100"/>
        <c:noMultiLvlLbl val="0"/>
      </c:catAx>
      <c:valAx>
        <c:axId val="346131848"/>
        <c:scaling>
          <c:orientation val="minMax"/>
        </c:scaling>
        <c:delete val="0"/>
        <c:axPos val="l"/>
        <c:majorGridlines/>
        <c:numFmt formatCode="&quot;$&quot;#,##0" sourceLinked="0"/>
        <c:majorTickMark val="none"/>
        <c:minorTickMark val="none"/>
        <c:tickLblPos val="nextTo"/>
        <c:spPr>
          <a:ln w="9525">
            <a:noFill/>
          </a:ln>
        </c:spPr>
        <c:crossAx val="3461314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771744049235225"/>
          <c:y val="0.88323770679744151"/>
          <c:w val="0.41692664994162798"/>
          <c:h val="7.3885519287118201E-2"/>
        </c:manualLayout>
      </c:layout>
      <c:overlay val="0"/>
      <c:txPr>
        <a:bodyPr/>
        <a:lstStyle/>
        <a:p>
          <a:pPr>
            <a:defRPr sz="13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Work Order Survey Scores </a:t>
            </a:r>
          </a:p>
          <a:p>
            <a:pPr>
              <a:defRPr/>
            </a:pPr>
            <a:r>
              <a:rPr lang="en-US"/>
              <a:t>1=Strongly disagree  5=Strongly agree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9461345007150861E-2"/>
          <c:y val="0.12505197055238468"/>
          <c:w val="0.87377646059925163"/>
          <c:h val="0.74636842693003991"/>
        </c:manualLayout>
      </c:layout>
      <c:lineChart>
        <c:grouping val="standard"/>
        <c:varyColors val="0"/>
        <c:ser>
          <c:idx val="0"/>
          <c:order val="0"/>
          <c:tx>
            <c:strRef>
              <c:f>'Survey Work Orders'!$B$1:$B$2</c:f>
              <c:strCache>
                <c:ptCount val="2"/>
                <c:pt idx="0">
                  <c:v>Average Work Order Survey Scores 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'Survey Work Orders'!$A$46:$A$58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42567</c:v>
                </c:pt>
                <c:pt idx="12">
                  <c:v>42583</c:v>
                </c:pt>
              </c:numCache>
            </c:numRef>
          </c:cat>
          <c:val>
            <c:numRef>
              <c:f>'Survey Work Orders'!$B$46:$B$58</c:f>
              <c:numCache>
                <c:formatCode>General</c:formatCode>
                <c:ptCount val="13"/>
                <c:pt idx="0">
                  <c:v>4.5999999999999996</c:v>
                </c:pt>
                <c:pt idx="1">
                  <c:v>4.7</c:v>
                </c:pt>
                <c:pt idx="2">
                  <c:v>4.6100000000000003</c:v>
                </c:pt>
                <c:pt idx="3">
                  <c:v>4.6100000000000003</c:v>
                </c:pt>
                <c:pt idx="4">
                  <c:v>4.49</c:v>
                </c:pt>
                <c:pt idx="5">
                  <c:v>4.5599999999999996</c:v>
                </c:pt>
                <c:pt idx="6">
                  <c:v>4.78</c:v>
                </c:pt>
                <c:pt idx="7">
                  <c:v>4.6500000000000004</c:v>
                </c:pt>
                <c:pt idx="8">
                  <c:v>4.5</c:v>
                </c:pt>
                <c:pt idx="9">
                  <c:v>4.9400000000000004</c:v>
                </c:pt>
                <c:pt idx="10">
                  <c:v>4.82</c:v>
                </c:pt>
                <c:pt idx="11">
                  <c:v>4.59</c:v>
                </c:pt>
                <c:pt idx="12">
                  <c:v>4.55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428496"/>
        <c:axId val="194518464"/>
      </c:lineChart>
      <c:dateAx>
        <c:axId val="19442849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94518464"/>
        <c:crosses val="autoZero"/>
        <c:auto val="1"/>
        <c:lblOffset val="100"/>
        <c:baseTimeUnit val="months"/>
      </c:dateAx>
      <c:valAx>
        <c:axId val="194518464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Score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4428496"/>
        <c:crosses val="autoZero"/>
        <c:crossBetween val="between"/>
        <c:majorUnit val="1"/>
        <c:minorUnit val="1"/>
      </c:valAx>
    </c:plotArea>
    <c:legend>
      <c:legendPos val="r"/>
      <c:layout>
        <c:manualLayout>
          <c:xMode val="edge"/>
          <c:yMode val="edge"/>
          <c:x val="0.74531126413626336"/>
          <c:y val="0.41561328161801109"/>
          <c:w val="0.18685339609301607"/>
          <c:h val="0.1322714668845277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FY15 Year to Date Actual to Budget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177037437107364"/>
          <c:y val="0.14068057189942532"/>
          <c:w val="0.85168329590570135"/>
          <c:h val="0.66161107995903723"/>
        </c:manualLayout>
      </c:layout>
      <c:lineChart>
        <c:grouping val="standard"/>
        <c:varyColors val="0"/>
        <c:ser>
          <c:idx val="1"/>
          <c:order val="0"/>
          <c:tx>
            <c:strRef>
              <c:f>'FY15 Utilities'!$G$4</c:f>
              <c:strCache>
                <c:ptCount val="1"/>
                <c:pt idx="0">
                  <c:v>Budget YTD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9109506618531888E-2"/>
                  <c:y val="-4.34637245068538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9193742478940987E-2"/>
                  <c:y val="-5.0150451354062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7.6714801444043315E-2"/>
                  <c:y val="-4.34637245068538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9.0252707581227554E-2"/>
                  <c:y val="-2.3403543965228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6.4681107099879773E-2"/>
                  <c:y val="-1.0030090270812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'FY15 Utilities'!$E$5:$E$17</c:f>
              <c:strCache>
                <c:ptCount val="13"/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  <c:pt idx="10">
                  <c:v>July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'FY15 Utilities'!$G$5:$G$17</c:f>
              <c:numCache>
                <c:formatCode>"$"#,##0</c:formatCode>
                <c:ptCount val="13"/>
                <c:pt idx="1">
                  <c:v>1621139.9383413305</c:v>
                </c:pt>
                <c:pt idx="2">
                  <c:v>3293304.2910165675</c:v>
                </c:pt>
                <c:pt idx="3">
                  <c:v>5123158.4253780413</c:v>
                </c:pt>
                <c:pt idx="4">
                  <c:v>7053252.4068475645</c:v>
                </c:pt>
                <c:pt idx="5">
                  <c:v>8928317.7851317842</c:v>
                </c:pt>
                <c:pt idx="6">
                  <c:v>10671900.033315241</c:v>
                </c:pt>
                <c:pt idx="7">
                  <c:v>12284926.742005564</c:v>
                </c:pt>
                <c:pt idx="8">
                  <c:v>13998660.451169822</c:v>
                </c:pt>
                <c:pt idx="9">
                  <c:v>15948093.555646066</c:v>
                </c:pt>
                <c:pt idx="10">
                  <c:v>18170593.129514448</c:v>
                </c:pt>
                <c:pt idx="11">
                  <c:v>20293673.018633161</c:v>
                </c:pt>
                <c:pt idx="12">
                  <c:v>22036349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'FY15 Utilities'!$I$4</c:f>
              <c:strCache>
                <c:ptCount val="1"/>
                <c:pt idx="0">
                  <c:v>Actual YTD</c:v>
                </c:pt>
              </c:strCache>
            </c:strRef>
          </c:tx>
          <c:marker>
            <c:symbol val="none"/>
          </c:marker>
          <c:cat>
            <c:strRef>
              <c:f>'FY15 Utilities'!$E$5:$E$17</c:f>
              <c:strCache>
                <c:ptCount val="13"/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  <c:pt idx="10">
                  <c:v>July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'FY15 Utilities'!$I$5:$I$17</c:f>
              <c:numCache>
                <c:formatCode>"$"#,##0</c:formatCode>
                <c:ptCount val="13"/>
                <c:pt idx="1">
                  <c:v>1809497.9366666668</c:v>
                </c:pt>
                <c:pt idx="2">
                  <c:v>3176407.7433333332</c:v>
                </c:pt>
                <c:pt idx="3">
                  <c:v>5101381.28</c:v>
                </c:pt>
                <c:pt idx="4">
                  <c:v>6773771.7033333331</c:v>
                </c:pt>
                <c:pt idx="5">
                  <c:v>8465642.4399999995</c:v>
                </c:pt>
                <c:pt idx="6">
                  <c:v>10166549.366666667</c:v>
                </c:pt>
                <c:pt idx="7">
                  <c:v>11465815.723333335</c:v>
                </c:pt>
                <c:pt idx="8">
                  <c:v>13059242.050000001</c:v>
                </c:pt>
                <c:pt idx="9">
                  <c:v>14572280.616666667</c:v>
                </c:pt>
                <c:pt idx="10">
                  <c:v>16202561.946666667</c:v>
                </c:pt>
                <c:pt idx="11">
                  <c:v>17809599.056666669</c:v>
                </c:pt>
                <c:pt idx="12">
                  <c:v>19285592.276666667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6094136"/>
        <c:axId val="346094528"/>
      </c:lineChart>
      <c:catAx>
        <c:axId val="3460941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46094528"/>
        <c:crosses val="autoZero"/>
        <c:auto val="1"/>
        <c:lblAlgn val="ctr"/>
        <c:lblOffset val="100"/>
        <c:noMultiLvlLbl val="0"/>
      </c:catAx>
      <c:valAx>
        <c:axId val="346094528"/>
        <c:scaling>
          <c:orientation val="minMax"/>
        </c:scaling>
        <c:delete val="0"/>
        <c:axPos val="l"/>
        <c:majorGridlines/>
        <c:numFmt formatCode="&quot;$&quot;#,##0" sourceLinked="0"/>
        <c:majorTickMark val="none"/>
        <c:minorTickMark val="none"/>
        <c:tickLblPos val="nextTo"/>
        <c:crossAx val="346094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831306491881275"/>
          <c:y val="0.90610869478226885"/>
          <c:w val="0.26169207704269065"/>
          <c:h val="7.0882337063400871E-2"/>
        </c:manualLayout>
      </c:layout>
      <c:overlay val="0"/>
      <c:txPr>
        <a:bodyPr/>
        <a:lstStyle/>
        <a:p>
          <a:pPr>
            <a:defRPr sz="13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FY14 Monthly Budget to Actual         </a:t>
            </a:r>
            <a:r>
              <a:rPr lang="en-US" sz="1400"/>
              <a:t>(Areas in Orange are Estimates)</a:t>
            </a:r>
            <a:endParaRPr lang="en-US"/>
          </a:p>
        </c:rich>
      </c:tx>
      <c:layout>
        <c:manualLayout>
          <c:xMode val="edge"/>
          <c:yMode val="edge"/>
          <c:x val="0.27521546581755657"/>
          <c:y val="2.7224774544835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998058073523889E-2"/>
          <c:y val="0.14415059628337826"/>
          <c:w val="0.89150029176145962"/>
          <c:h val="0.642986892825447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'FY14 Utilities'!$E$4</c:f>
              <c:strCache>
                <c:ptCount val="1"/>
                <c:pt idx="0">
                  <c:v>Budget Current Month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'FY14 Utilities'!$D$5:$D$17</c:f>
              <c:strCache>
                <c:ptCount val="13"/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  <c:pt idx="10">
                  <c:v>July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'FY14 Utilities'!$E$5:$E$17</c:f>
              <c:numCache>
                <c:formatCode>"$"#,##0</c:formatCode>
                <c:ptCount val="13"/>
                <c:pt idx="1">
                  <c:v>1335809.0503987879</c:v>
                </c:pt>
                <c:pt idx="2">
                  <c:v>1453024.9801453196</c:v>
                </c:pt>
                <c:pt idx="3">
                  <c:v>1693667.1167199505</c:v>
                </c:pt>
                <c:pt idx="4">
                  <c:v>1874884.7827131355</c:v>
                </c:pt>
                <c:pt idx="5">
                  <c:v>1798667.5196908957</c:v>
                </c:pt>
                <c:pt idx="6">
                  <c:v>1725082.9241133991</c:v>
                </c:pt>
                <c:pt idx="7">
                  <c:v>1647361.5606733842</c:v>
                </c:pt>
                <c:pt idx="8">
                  <c:v>1666843.0891434667</c:v>
                </c:pt>
                <c:pt idx="9">
                  <c:v>1697881.2075440849</c:v>
                </c:pt>
                <c:pt idx="10">
                  <c:v>2037628.5177706017</c:v>
                </c:pt>
                <c:pt idx="11">
                  <c:v>1886353.0000166902</c:v>
                </c:pt>
                <c:pt idx="12">
                  <c:v>1687145.251070285</c:v>
                </c:pt>
              </c:numCache>
            </c:numRef>
          </c:val>
        </c:ser>
        <c:ser>
          <c:idx val="1"/>
          <c:order val="1"/>
          <c:tx>
            <c:strRef>
              <c:f>'FY14 Utilities'!$G$4</c:f>
              <c:strCache>
                <c:ptCount val="1"/>
                <c:pt idx="0">
                  <c:v>Actual Current Month</c:v>
                </c:pt>
              </c:strCache>
            </c:strRef>
          </c:tx>
          <c:spPr>
            <a:solidFill>
              <a:srgbClr val="339966"/>
            </a:solidFill>
          </c:spPr>
          <c:invertIfNegative val="0"/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9900"/>
              </a:solidFill>
            </c:spPr>
          </c:dPt>
          <c:cat>
            <c:strRef>
              <c:f>'FY14 Utilities'!$D$5:$D$17</c:f>
              <c:strCache>
                <c:ptCount val="13"/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  <c:pt idx="10">
                  <c:v>July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'FY14 Utilities'!$G$5:$G$17</c:f>
              <c:numCache>
                <c:formatCode>"$"#,##0</c:formatCode>
                <c:ptCount val="13"/>
                <c:pt idx="1">
                  <c:v>1636959.8333333333</c:v>
                </c:pt>
                <c:pt idx="2">
                  <c:v>1561126.6249999998</c:v>
                </c:pt>
                <c:pt idx="3">
                  <c:v>1737250.7750000001</c:v>
                </c:pt>
                <c:pt idx="4">
                  <c:v>2273933.6066666665</c:v>
                </c:pt>
                <c:pt idx="5">
                  <c:v>2035592.4366666668</c:v>
                </c:pt>
                <c:pt idx="6">
                  <c:v>2197900.8766666665</c:v>
                </c:pt>
                <c:pt idx="7">
                  <c:v>1626166.6900000002</c:v>
                </c:pt>
                <c:pt idx="8">
                  <c:v>1644664.35</c:v>
                </c:pt>
                <c:pt idx="9">
                  <c:v>1696415.0599999998</c:v>
                </c:pt>
                <c:pt idx="10">
                  <c:v>1740752.7699999998</c:v>
                </c:pt>
                <c:pt idx="11">
                  <c:v>1635816.8499999999</c:v>
                </c:pt>
                <c:pt idx="12">
                  <c:v>1662422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346095312"/>
        <c:axId val="346095704"/>
      </c:barChart>
      <c:catAx>
        <c:axId val="3460953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46095704"/>
        <c:crosses val="autoZero"/>
        <c:auto val="1"/>
        <c:lblAlgn val="ctr"/>
        <c:lblOffset val="100"/>
        <c:noMultiLvlLbl val="0"/>
      </c:catAx>
      <c:valAx>
        <c:axId val="346095704"/>
        <c:scaling>
          <c:orientation val="minMax"/>
        </c:scaling>
        <c:delete val="0"/>
        <c:axPos val="l"/>
        <c:majorGridlines/>
        <c:numFmt formatCode="&quot;$&quot;#,##0" sourceLinked="0"/>
        <c:majorTickMark val="none"/>
        <c:minorTickMark val="none"/>
        <c:tickLblPos val="nextTo"/>
        <c:spPr>
          <a:ln w="9525">
            <a:noFill/>
          </a:ln>
        </c:spPr>
        <c:crossAx val="3460953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771744049235225"/>
          <c:y val="0.88323770679744151"/>
          <c:w val="0.51222282559507648"/>
          <c:h val="7.5447459062954553E-2"/>
        </c:manualLayout>
      </c:layout>
      <c:overlay val="0"/>
      <c:txPr>
        <a:bodyPr/>
        <a:lstStyle/>
        <a:p>
          <a:pPr>
            <a:defRPr sz="13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FY14 Year to Date Actual to Budget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177037437107364"/>
          <c:y val="0.14068057189942532"/>
          <c:w val="0.85168329590570135"/>
          <c:h val="0.66161107995903723"/>
        </c:manualLayout>
      </c:layout>
      <c:lineChart>
        <c:grouping val="standard"/>
        <c:varyColors val="0"/>
        <c:ser>
          <c:idx val="1"/>
          <c:order val="0"/>
          <c:tx>
            <c:strRef>
              <c:f>'FY14 Utilities'!$F$4</c:f>
              <c:strCache>
                <c:ptCount val="1"/>
                <c:pt idx="0">
                  <c:v>Budget YTD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9109506618531888E-2"/>
                  <c:y val="-4.34637245068538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6.9193742478940987E-2"/>
                  <c:y val="-5.0150451354062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7.6714801444043315E-2"/>
                  <c:y val="-4.34637245068538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9.0252707581227554E-2"/>
                  <c:y val="-2.3403543965228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6.4681107099879773E-2"/>
                  <c:y val="-1.0030090270812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'FY14 Utilities'!$D$5:$D$17</c:f>
              <c:strCache>
                <c:ptCount val="13"/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  <c:pt idx="10">
                  <c:v>July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'FY14 Utilities'!$F$5:$F$17</c:f>
              <c:numCache>
                <c:formatCode>"$"#,##0</c:formatCode>
                <c:ptCount val="13"/>
                <c:pt idx="1">
                  <c:v>1335809.0503987879</c:v>
                </c:pt>
                <c:pt idx="2">
                  <c:v>2788834.0305441078</c:v>
                </c:pt>
                <c:pt idx="3">
                  <c:v>4482501.1472640578</c:v>
                </c:pt>
                <c:pt idx="4">
                  <c:v>6357385.9299771935</c:v>
                </c:pt>
                <c:pt idx="5">
                  <c:v>8156053.4496680889</c:v>
                </c:pt>
                <c:pt idx="6">
                  <c:v>9881136.3737814873</c:v>
                </c:pt>
                <c:pt idx="7">
                  <c:v>11528497.934454871</c:v>
                </c:pt>
                <c:pt idx="8">
                  <c:v>13195341.023598338</c:v>
                </c:pt>
                <c:pt idx="9">
                  <c:v>14893222.231142422</c:v>
                </c:pt>
                <c:pt idx="10">
                  <c:v>16930850.748913024</c:v>
                </c:pt>
                <c:pt idx="11">
                  <c:v>18817203.748929713</c:v>
                </c:pt>
                <c:pt idx="12">
                  <c:v>20504348.999999996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'FY14 Utilities'!$H$4</c:f>
              <c:strCache>
                <c:ptCount val="1"/>
                <c:pt idx="0">
                  <c:v>Actual YTD</c:v>
                </c:pt>
              </c:strCache>
            </c:strRef>
          </c:tx>
          <c:marker>
            <c:symbol val="none"/>
          </c:marker>
          <c:cat>
            <c:strRef>
              <c:f>'FY14 Utilities'!$D$5:$D$17</c:f>
              <c:strCache>
                <c:ptCount val="13"/>
                <c:pt idx="1">
                  <c:v>October</c:v>
                </c:pt>
                <c:pt idx="2">
                  <c:v>November</c:v>
                </c:pt>
                <c:pt idx="3">
                  <c:v>December</c:v>
                </c:pt>
                <c:pt idx="4">
                  <c:v>January</c:v>
                </c:pt>
                <c:pt idx="5">
                  <c:v>February</c:v>
                </c:pt>
                <c:pt idx="6">
                  <c:v>March</c:v>
                </c:pt>
                <c:pt idx="7">
                  <c:v>April</c:v>
                </c:pt>
                <c:pt idx="8">
                  <c:v>May</c:v>
                </c:pt>
                <c:pt idx="9">
                  <c:v>June</c:v>
                </c:pt>
                <c:pt idx="10">
                  <c:v>July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'FY14 Utilities'!$H$5:$H$17</c:f>
              <c:numCache>
                <c:formatCode>"$"#,##0</c:formatCode>
                <c:ptCount val="13"/>
                <c:pt idx="1">
                  <c:v>1636959.8333333333</c:v>
                </c:pt>
                <c:pt idx="2">
                  <c:v>3198086.458333333</c:v>
                </c:pt>
                <c:pt idx="3">
                  <c:v>4935337.2333333334</c:v>
                </c:pt>
                <c:pt idx="4">
                  <c:v>7209270.8399999999</c:v>
                </c:pt>
                <c:pt idx="5">
                  <c:v>9244863.2766666673</c:v>
                </c:pt>
                <c:pt idx="6">
                  <c:v>11442764.153333334</c:v>
                </c:pt>
                <c:pt idx="7">
                  <c:v>13068930.843333334</c:v>
                </c:pt>
                <c:pt idx="8">
                  <c:v>14713595.193333333</c:v>
                </c:pt>
                <c:pt idx="9">
                  <c:v>16410010.253333334</c:v>
                </c:pt>
                <c:pt idx="10">
                  <c:v>18150763.023333333</c:v>
                </c:pt>
                <c:pt idx="11">
                  <c:v>19786579.873333335</c:v>
                </c:pt>
                <c:pt idx="12">
                  <c:v>21449001.873333335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6096488"/>
        <c:axId val="346096880"/>
      </c:lineChart>
      <c:catAx>
        <c:axId val="3460964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46096880"/>
        <c:crosses val="autoZero"/>
        <c:auto val="1"/>
        <c:lblAlgn val="ctr"/>
        <c:lblOffset val="100"/>
        <c:noMultiLvlLbl val="0"/>
      </c:catAx>
      <c:valAx>
        <c:axId val="346096880"/>
        <c:scaling>
          <c:orientation val="minMax"/>
        </c:scaling>
        <c:delete val="0"/>
        <c:axPos val="l"/>
        <c:majorGridlines/>
        <c:numFmt formatCode="&quot;$&quot;#,##0" sourceLinked="0"/>
        <c:majorTickMark val="none"/>
        <c:minorTickMark val="none"/>
        <c:tickLblPos val="nextTo"/>
        <c:crossAx val="3460964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831306491881275"/>
          <c:y val="0.90610869478226885"/>
          <c:w val="0.36673285135188155"/>
          <c:h val="6.679404977740018E-2"/>
        </c:manualLayout>
      </c:layout>
      <c:overlay val="0"/>
      <c:txPr>
        <a:bodyPr/>
        <a:lstStyle/>
        <a:p>
          <a:pPr>
            <a:defRPr sz="13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</a:t>
            </a:r>
          </a:p>
          <a:p>
            <a:pPr>
              <a:defRPr/>
            </a:pPr>
            <a:r>
              <a:rPr lang="en-US"/>
              <a:t> Custodial</a:t>
            </a:r>
            <a:r>
              <a:rPr lang="en-US" baseline="0"/>
              <a:t> </a:t>
            </a:r>
            <a:r>
              <a:rPr lang="en-US"/>
              <a:t>Maintenance</a:t>
            </a:r>
          </a:p>
        </c:rich>
      </c:tx>
      <c:layout>
        <c:manualLayout>
          <c:xMode val="edge"/>
          <c:yMode val="edge"/>
          <c:x val="0.30449272139159239"/>
          <c:y val="1.3870792964250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241632157439013E-2"/>
          <c:y val="0.21251749931329725"/>
          <c:w val="0.89453980032974967"/>
          <c:h val="0.556516512053460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Custodial!$B$2</c:f>
              <c:strCache>
                <c:ptCount val="1"/>
                <c:pt idx="0">
                  <c:v>Created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Custodial!$A$46:$A$58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42353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Custodial!$B$46:$B$58</c:f>
              <c:numCache>
                <c:formatCode>General</c:formatCode>
                <c:ptCount val="13"/>
                <c:pt idx="0">
                  <c:v>257</c:v>
                </c:pt>
                <c:pt idx="1">
                  <c:v>230</c:v>
                </c:pt>
                <c:pt idx="2">
                  <c:v>257</c:v>
                </c:pt>
                <c:pt idx="3">
                  <c:v>166</c:v>
                </c:pt>
                <c:pt idx="4">
                  <c:v>168</c:v>
                </c:pt>
                <c:pt idx="5">
                  <c:v>233</c:v>
                </c:pt>
                <c:pt idx="6">
                  <c:v>171</c:v>
                </c:pt>
                <c:pt idx="7">
                  <c:v>265</c:v>
                </c:pt>
                <c:pt idx="8">
                  <c:v>236</c:v>
                </c:pt>
                <c:pt idx="9">
                  <c:v>240</c:v>
                </c:pt>
                <c:pt idx="10">
                  <c:v>220</c:v>
                </c:pt>
                <c:pt idx="11">
                  <c:v>217</c:v>
                </c:pt>
                <c:pt idx="12">
                  <c:v>253</c:v>
                </c:pt>
              </c:numCache>
            </c:numRef>
          </c:val>
        </c:ser>
        <c:ser>
          <c:idx val="3"/>
          <c:order val="3"/>
          <c:tx>
            <c:strRef>
              <c:f>Custodial!$E$2</c:f>
              <c:strCache>
                <c:ptCount val="1"/>
                <c:pt idx="0">
                  <c:v>Finished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Custodial!$A$46:$A$58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42353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Custodial!$E$46:$E$58</c:f>
              <c:numCache>
                <c:formatCode>General</c:formatCode>
                <c:ptCount val="13"/>
                <c:pt idx="0">
                  <c:v>255</c:v>
                </c:pt>
                <c:pt idx="1">
                  <c:v>215</c:v>
                </c:pt>
                <c:pt idx="2">
                  <c:v>252</c:v>
                </c:pt>
                <c:pt idx="3">
                  <c:v>152</c:v>
                </c:pt>
                <c:pt idx="4">
                  <c:v>143</c:v>
                </c:pt>
                <c:pt idx="5">
                  <c:v>198</c:v>
                </c:pt>
                <c:pt idx="6">
                  <c:v>174</c:v>
                </c:pt>
                <c:pt idx="7">
                  <c:v>239</c:v>
                </c:pt>
                <c:pt idx="8">
                  <c:v>232</c:v>
                </c:pt>
                <c:pt idx="9">
                  <c:v>229</c:v>
                </c:pt>
                <c:pt idx="10">
                  <c:v>168</c:v>
                </c:pt>
                <c:pt idx="11">
                  <c:v>199</c:v>
                </c:pt>
                <c:pt idx="12">
                  <c:v>263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703384"/>
        <c:axId val="193166888"/>
      </c:barChart>
      <c:lineChart>
        <c:grouping val="standard"/>
        <c:varyColors val="0"/>
        <c:ser>
          <c:idx val="1"/>
          <c:order val="1"/>
          <c:tx>
            <c:strRef>
              <c:f>Custodial!$C$2</c:f>
              <c:strCache>
                <c:ptCount val="1"/>
                <c:pt idx="0">
                  <c:v>Backlog Goal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Custodial!$A$46:$A$58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42353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Custodial!$C$46:$C$58</c:f>
              <c:numCache>
                <c:formatCode>General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Custodial!$D$2</c:f>
              <c:strCache>
                <c:ptCount val="1"/>
                <c:pt idx="0">
                  <c:v>Total Backlog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Custodial!$A$46:$A$58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42353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Custodial!$D$46:$D$58</c:f>
              <c:numCache>
                <c:formatCode>General</c:formatCode>
                <c:ptCount val="13"/>
                <c:pt idx="0">
                  <c:v>85</c:v>
                </c:pt>
                <c:pt idx="1">
                  <c:v>89</c:v>
                </c:pt>
                <c:pt idx="2">
                  <c:v>73</c:v>
                </c:pt>
                <c:pt idx="3">
                  <c:v>78</c:v>
                </c:pt>
                <c:pt idx="4">
                  <c:v>89</c:v>
                </c:pt>
                <c:pt idx="5">
                  <c:v>99</c:v>
                </c:pt>
                <c:pt idx="6">
                  <c:v>81</c:v>
                </c:pt>
                <c:pt idx="7">
                  <c:v>108</c:v>
                </c:pt>
                <c:pt idx="8">
                  <c:v>97</c:v>
                </c:pt>
                <c:pt idx="9">
                  <c:v>96</c:v>
                </c:pt>
                <c:pt idx="10">
                  <c:v>122</c:v>
                </c:pt>
                <c:pt idx="11">
                  <c:v>130</c:v>
                </c:pt>
                <c:pt idx="12">
                  <c:v>118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Custodial!$F$2</c:f>
              <c:strCache>
                <c:ptCount val="1"/>
                <c:pt idx="0">
                  <c:v>  &gt; 30 Days Old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Custodial!$A$46:$A$58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42353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Custodial!$F$46:$F$58</c:f>
              <c:numCache>
                <c:formatCode>General</c:formatCode>
                <c:ptCount val="13"/>
                <c:pt idx="0">
                  <c:v>10</c:v>
                </c:pt>
                <c:pt idx="1">
                  <c:v>18</c:v>
                </c:pt>
                <c:pt idx="2">
                  <c:v>19</c:v>
                </c:pt>
                <c:pt idx="3">
                  <c:v>32</c:v>
                </c:pt>
                <c:pt idx="4">
                  <c:v>31</c:v>
                </c:pt>
                <c:pt idx="5">
                  <c:v>34</c:v>
                </c:pt>
                <c:pt idx="6">
                  <c:v>42</c:v>
                </c:pt>
                <c:pt idx="7">
                  <c:v>46</c:v>
                </c:pt>
                <c:pt idx="8">
                  <c:v>48</c:v>
                </c:pt>
                <c:pt idx="9">
                  <c:v>47</c:v>
                </c:pt>
                <c:pt idx="10">
                  <c:v>48</c:v>
                </c:pt>
                <c:pt idx="11">
                  <c:v>68</c:v>
                </c:pt>
                <c:pt idx="12">
                  <c:v>54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93703384"/>
        <c:axId val="193166888"/>
      </c:lineChart>
      <c:dateAx>
        <c:axId val="19370338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93166888"/>
        <c:crosses val="autoZero"/>
        <c:auto val="1"/>
        <c:lblOffset val="100"/>
        <c:baseTimeUnit val="months"/>
      </c:dateAx>
      <c:valAx>
        <c:axId val="193166888"/>
        <c:scaling>
          <c:orientation val="minMax"/>
          <c:min val="0"/>
        </c:scaling>
        <c:delete val="0"/>
        <c:axPos val="l"/>
        <c:majorGridlines/>
        <c:numFmt formatCode="#,##0_);[Red]\(#,##0\)" sourceLinked="0"/>
        <c:majorTickMark val="out"/>
        <c:minorTickMark val="none"/>
        <c:tickLblPos val="nextTo"/>
        <c:crossAx val="1937033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</a:t>
            </a:r>
            <a:r>
              <a:rPr lang="en-US" baseline="0"/>
              <a:t> Time</a:t>
            </a:r>
          </a:p>
          <a:p>
            <a:pPr>
              <a:defRPr/>
            </a:pPr>
            <a:r>
              <a:rPr lang="en-US" u="none" baseline="0"/>
              <a:t>CUSTODIAL</a:t>
            </a:r>
            <a:endParaRPr lang="en-US" u="none"/>
          </a:p>
        </c:rich>
      </c:tx>
      <c:layout>
        <c:manualLayout>
          <c:xMode val="edge"/>
          <c:yMode val="edge"/>
          <c:x val="0.26818969804506654"/>
          <c:y val="2.2246603669041107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Custodial!$B$60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Custodial!$A$107:$A$119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42353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Custodial!$B$107:$B$119</c:f>
              <c:numCache>
                <c:formatCode>0%</c:formatCode>
                <c:ptCount val="13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Custodial!$E$60</c:f>
              <c:strCache>
                <c:ptCount val="1"/>
                <c:pt idx="0">
                  <c:v>Actual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Custodial!$A$107:$A$119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42353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Custodial!$E$106:$E$119</c:f>
              <c:numCache>
                <c:formatCode>0%</c:formatCode>
                <c:ptCount val="14"/>
                <c:pt idx="0">
                  <c:v>0.96279069767441861</c:v>
                </c:pt>
                <c:pt idx="1">
                  <c:v>0.95686274509803926</c:v>
                </c:pt>
                <c:pt idx="2">
                  <c:v>0.96279069767441861</c:v>
                </c:pt>
                <c:pt idx="3">
                  <c:v>0.98015873015873012</c:v>
                </c:pt>
                <c:pt idx="4">
                  <c:v>0.89473684210526316</c:v>
                </c:pt>
                <c:pt idx="5">
                  <c:v>0.93006993006993011</c:v>
                </c:pt>
                <c:pt idx="6">
                  <c:v>0.93434343434343436</c:v>
                </c:pt>
                <c:pt idx="7">
                  <c:v>0.94827586206896552</c:v>
                </c:pt>
                <c:pt idx="8">
                  <c:v>0.91631799163179917</c:v>
                </c:pt>
                <c:pt idx="9">
                  <c:v>0.90086206896551724</c:v>
                </c:pt>
                <c:pt idx="10">
                  <c:v>0.93449781659388642</c:v>
                </c:pt>
                <c:pt idx="11">
                  <c:v>0.9464285714285714</c:v>
                </c:pt>
                <c:pt idx="12">
                  <c:v>0.95979899497487442</c:v>
                </c:pt>
                <c:pt idx="13">
                  <c:v>0.85551330798479086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075864"/>
        <c:axId val="193077040"/>
      </c:lineChart>
      <c:dateAx>
        <c:axId val="19307586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93077040"/>
        <c:crosses val="autoZero"/>
        <c:auto val="1"/>
        <c:lblOffset val="100"/>
        <c:baseTimeUnit val="months"/>
      </c:dateAx>
      <c:valAx>
        <c:axId val="193077040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930758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Custodial Backlog - Age Distribution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35975420639549477"/>
          <c:y val="2.1462101435468152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Custodial!$B$141</c:f>
              <c:strCache>
                <c:ptCount val="1"/>
                <c:pt idx="0">
                  <c:v>Total #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Custodial!$A$180:$A$192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Custodial!$B$180:$B$192</c:f>
              <c:numCache>
                <c:formatCode>General</c:formatCode>
                <c:ptCount val="13"/>
                <c:pt idx="0">
                  <c:v>85</c:v>
                </c:pt>
                <c:pt idx="1">
                  <c:v>89</c:v>
                </c:pt>
                <c:pt idx="2">
                  <c:v>73</c:v>
                </c:pt>
                <c:pt idx="3">
                  <c:v>78</c:v>
                </c:pt>
                <c:pt idx="4">
                  <c:v>89</c:v>
                </c:pt>
                <c:pt idx="5">
                  <c:v>99</c:v>
                </c:pt>
                <c:pt idx="6">
                  <c:v>81</c:v>
                </c:pt>
                <c:pt idx="7">
                  <c:v>108</c:v>
                </c:pt>
                <c:pt idx="8">
                  <c:v>97</c:v>
                </c:pt>
                <c:pt idx="9">
                  <c:v>96</c:v>
                </c:pt>
                <c:pt idx="10">
                  <c:v>122</c:v>
                </c:pt>
                <c:pt idx="11">
                  <c:v>130</c:v>
                </c:pt>
                <c:pt idx="12">
                  <c:v>118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Custodial!$C$141</c:f>
              <c:strCache>
                <c:ptCount val="1"/>
                <c:pt idx="0">
                  <c:v>&lt; 30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Custodial!$A$180:$A$192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Custodial!$C$180:$C$192</c:f>
              <c:numCache>
                <c:formatCode>General</c:formatCode>
                <c:ptCount val="13"/>
                <c:pt idx="0">
                  <c:v>75</c:v>
                </c:pt>
                <c:pt idx="1">
                  <c:v>71</c:v>
                </c:pt>
                <c:pt idx="2">
                  <c:v>54</c:v>
                </c:pt>
                <c:pt idx="3">
                  <c:v>46</c:v>
                </c:pt>
                <c:pt idx="4">
                  <c:v>58</c:v>
                </c:pt>
                <c:pt idx="5">
                  <c:v>65</c:v>
                </c:pt>
                <c:pt idx="6">
                  <c:v>39</c:v>
                </c:pt>
                <c:pt idx="7">
                  <c:v>62</c:v>
                </c:pt>
                <c:pt idx="8">
                  <c:v>49</c:v>
                </c:pt>
                <c:pt idx="9">
                  <c:v>49</c:v>
                </c:pt>
                <c:pt idx="10">
                  <c:v>74</c:v>
                </c:pt>
                <c:pt idx="11">
                  <c:v>62</c:v>
                </c:pt>
                <c:pt idx="12">
                  <c:v>64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Custodial!$D$141</c:f>
              <c:strCache>
                <c:ptCount val="1"/>
                <c:pt idx="0">
                  <c:v>31-60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Custodial!$A$180:$A$192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Custodial!$D$180:$D$192</c:f>
              <c:numCache>
                <c:formatCode>General</c:formatCode>
                <c:ptCount val="13"/>
                <c:pt idx="0">
                  <c:v>9</c:v>
                </c:pt>
                <c:pt idx="1">
                  <c:v>11</c:v>
                </c:pt>
                <c:pt idx="2">
                  <c:v>8</c:v>
                </c:pt>
                <c:pt idx="3">
                  <c:v>15</c:v>
                </c:pt>
                <c:pt idx="4">
                  <c:v>7</c:v>
                </c:pt>
                <c:pt idx="5">
                  <c:v>11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12</c:v>
                </c:pt>
                <c:pt idx="10">
                  <c:v>11</c:v>
                </c:pt>
                <c:pt idx="11">
                  <c:v>28</c:v>
                </c:pt>
                <c:pt idx="12">
                  <c:v>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Custodial!$E$141</c:f>
              <c:strCache>
                <c:ptCount val="1"/>
                <c:pt idx="0">
                  <c:v>61-90 Days 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Custodial!$A$180:$A$192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Custodial!$E$180:$E$192</c:f>
              <c:numCache>
                <c:formatCode>General</c:formatCode>
                <c:ptCount val="13"/>
                <c:pt idx="0">
                  <c:v>1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3</c:v>
                </c:pt>
                <c:pt idx="6">
                  <c:v>7</c:v>
                </c:pt>
                <c:pt idx="7">
                  <c:v>11</c:v>
                </c:pt>
                <c:pt idx="8">
                  <c:v>8</c:v>
                </c:pt>
                <c:pt idx="9">
                  <c:v>9</c:v>
                </c:pt>
                <c:pt idx="10">
                  <c:v>4</c:v>
                </c:pt>
                <c:pt idx="11">
                  <c:v>4</c:v>
                </c:pt>
                <c:pt idx="12">
                  <c:v>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Custodial!$F$141</c:f>
              <c:strCache>
                <c:ptCount val="1"/>
                <c:pt idx="0">
                  <c:v>91-180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Custodial!$A$180:$A$192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Custodial!$F$180:$F$192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12</c:v>
                </c:pt>
                <c:pt idx="5">
                  <c:v>16</c:v>
                </c:pt>
                <c:pt idx="6">
                  <c:v>13</c:v>
                </c:pt>
                <c:pt idx="7">
                  <c:v>7</c:v>
                </c:pt>
                <c:pt idx="8">
                  <c:v>7</c:v>
                </c:pt>
                <c:pt idx="9">
                  <c:v>10</c:v>
                </c:pt>
                <c:pt idx="10">
                  <c:v>16</c:v>
                </c:pt>
                <c:pt idx="11">
                  <c:v>15</c:v>
                </c:pt>
                <c:pt idx="12">
                  <c:v>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Custodial!$G$141</c:f>
              <c:strCache>
                <c:ptCount val="1"/>
                <c:pt idx="0">
                  <c:v>181-365 Days</c:v>
                </c:pt>
              </c:strCache>
            </c:strRef>
          </c:tx>
          <c:cat>
            <c:numRef>
              <c:f>Custodial!$A$180:$A$192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Custodial!$G$180:$G$192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4</c:v>
                </c:pt>
                <c:pt idx="6">
                  <c:v>8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16</c:v>
                </c:pt>
                <c:pt idx="11">
                  <c:v>17</c:v>
                </c:pt>
                <c:pt idx="12">
                  <c:v>19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Custodial!$H$141</c:f>
              <c:strCache>
                <c:ptCount val="1"/>
                <c:pt idx="0">
                  <c:v>&gt;365 Days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Custodial!$A$180:$A$192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Custodial!$H$180:$H$192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4</c:v>
                </c:pt>
                <c:pt idx="12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077432"/>
        <c:axId val="193077824"/>
      </c:lineChart>
      <c:dateAx>
        <c:axId val="193077432"/>
        <c:scaling>
          <c:orientation val="minMax"/>
        </c:scaling>
        <c:delete val="1"/>
        <c:axPos val="b"/>
        <c:numFmt formatCode="mmm\-yy" sourceLinked="1"/>
        <c:majorTickMark val="none"/>
        <c:minorTickMark val="none"/>
        <c:tickLblPos val="nextTo"/>
        <c:crossAx val="193077824"/>
        <c:crosses val="autoZero"/>
        <c:auto val="1"/>
        <c:lblOffset val="100"/>
        <c:baseTimeUnit val="days"/>
      </c:dateAx>
      <c:valAx>
        <c:axId val="193077824"/>
        <c:scaling>
          <c:orientation val="minMax"/>
          <c:max val="16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</a:t>
                </a:r>
                <a:r>
                  <a:rPr lang="en-US" baseline="0"/>
                  <a:t> work orders 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307743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 Backlog </a:t>
            </a:r>
          </a:p>
          <a:p>
            <a:pPr>
              <a:defRPr/>
            </a:pPr>
            <a:r>
              <a:rPr lang="en-US"/>
              <a:t>Engineering Maintenance</a:t>
            </a:r>
          </a:p>
        </c:rich>
      </c:tx>
      <c:layout>
        <c:manualLayout>
          <c:xMode val="edge"/>
          <c:yMode val="edge"/>
          <c:x val="0.32916017793017333"/>
          <c:y val="1.9006871332094725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Engineering!$B$2</c:f>
              <c:strCache>
                <c:ptCount val="1"/>
                <c:pt idx="0">
                  <c:v>Created</c:v>
                </c:pt>
              </c:strCache>
            </c:strRef>
          </c:tx>
          <c:invertIfNegative val="0"/>
          <c:cat>
            <c:numRef>
              <c:f>Engineering!$A$46:$A$58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42416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Engineering!$B$46:$B$58</c:f>
              <c:numCache>
                <c:formatCode>General</c:formatCode>
                <c:ptCount val="13"/>
                <c:pt idx="0">
                  <c:v>629</c:v>
                </c:pt>
                <c:pt idx="1">
                  <c:v>657</c:v>
                </c:pt>
                <c:pt idx="2">
                  <c:v>776</c:v>
                </c:pt>
                <c:pt idx="3">
                  <c:v>581</c:v>
                </c:pt>
                <c:pt idx="4">
                  <c:v>438</c:v>
                </c:pt>
                <c:pt idx="5">
                  <c:v>799</c:v>
                </c:pt>
                <c:pt idx="6">
                  <c:v>652</c:v>
                </c:pt>
                <c:pt idx="7">
                  <c:v>461</c:v>
                </c:pt>
                <c:pt idx="8">
                  <c:v>537</c:v>
                </c:pt>
                <c:pt idx="9">
                  <c:v>609</c:v>
                </c:pt>
                <c:pt idx="10">
                  <c:v>727</c:v>
                </c:pt>
                <c:pt idx="11">
                  <c:v>595</c:v>
                </c:pt>
                <c:pt idx="12">
                  <c:v>814</c:v>
                </c:pt>
              </c:numCache>
            </c:numRef>
          </c:val>
        </c:ser>
        <c:ser>
          <c:idx val="3"/>
          <c:order val="3"/>
          <c:tx>
            <c:strRef>
              <c:f>Engineering!$E$2</c:f>
              <c:strCache>
                <c:ptCount val="1"/>
                <c:pt idx="0">
                  <c:v>Finished</c:v>
                </c:pt>
              </c:strCache>
            </c:strRef>
          </c:tx>
          <c:invertIfNegative val="0"/>
          <c:cat>
            <c:numRef>
              <c:f>Engineering!$A$46:$A$58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42416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Engineering!$E$46:$E$58</c:f>
              <c:numCache>
                <c:formatCode>#,##0_);[Red]\(#,##0\)</c:formatCode>
                <c:ptCount val="13"/>
                <c:pt idx="0">
                  <c:v>403</c:v>
                </c:pt>
                <c:pt idx="1">
                  <c:v>552</c:v>
                </c:pt>
                <c:pt idx="2">
                  <c:v>573</c:v>
                </c:pt>
                <c:pt idx="3">
                  <c:v>497</c:v>
                </c:pt>
                <c:pt idx="4">
                  <c:v>302</c:v>
                </c:pt>
                <c:pt idx="5">
                  <c:v>603</c:v>
                </c:pt>
                <c:pt idx="6">
                  <c:v>509</c:v>
                </c:pt>
                <c:pt idx="7">
                  <c:v>589</c:v>
                </c:pt>
                <c:pt idx="8">
                  <c:v>409</c:v>
                </c:pt>
                <c:pt idx="9">
                  <c:v>414</c:v>
                </c:pt>
                <c:pt idx="10">
                  <c:v>596</c:v>
                </c:pt>
                <c:pt idx="11">
                  <c:v>387</c:v>
                </c:pt>
                <c:pt idx="12">
                  <c:v>660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781720"/>
        <c:axId val="342782112"/>
      </c:barChart>
      <c:lineChart>
        <c:grouping val="standard"/>
        <c:varyColors val="0"/>
        <c:ser>
          <c:idx val="1"/>
          <c:order val="1"/>
          <c:tx>
            <c:strRef>
              <c:f>Engineering!$C$2</c:f>
              <c:strCache>
                <c:ptCount val="1"/>
                <c:pt idx="0">
                  <c:v>Goal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Engineering!$A$46:$A$58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42416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Engineering!$C$46:$C$58</c:f>
              <c:numCache>
                <c:formatCode>0</c:formatCode>
                <c:ptCount val="13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  <c:pt idx="12">
                  <c:v>300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Engineering!$D$2</c:f>
              <c:strCache>
                <c:ptCount val="1"/>
                <c:pt idx="0">
                  <c:v>Total #</c:v>
                </c:pt>
              </c:strCache>
            </c:strRef>
          </c:tx>
          <c:dLbls>
            <c:dLbl>
              <c:idx val="0"/>
              <c:layout>
                <c:manualLayout>
                  <c:x val="-5.0541516245487361E-2"/>
                  <c:y val="3.1432031693005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Engineering!$A$46:$A$58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42416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Engineering!$D$46:$D$58</c:f>
              <c:numCache>
                <c:formatCode>#,##0_);[Red]\(#,##0\)</c:formatCode>
                <c:ptCount val="13"/>
                <c:pt idx="0">
                  <c:v>485</c:v>
                </c:pt>
                <c:pt idx="1">
                  <c:v>521</c:v>
                </c:pt>
                <c:pt idx="2">
                  <c:v>586</c:v>
                </c:pt>
                <c:pt idx="3">
                  <c:v>606</c:v>
                </c:pt>
                <c:pt idx="4">
                  <c:v>667</c:v>
                </c:pt>
                <c:pt idx="5">
                  <c:v>276</c:v>
                </c:pt>
                <c:pt idx="6">
                  <c:v>333</c:v>
                </c:pt>
                <c:pt idx="7">
                  <c:v>409</c:v>
                </c:pt>
                <c:pt idx="8">
                  <c:v>379</c:v>
                </c:pt>
                <c:pt idx="9">
                  <c:v>551</c:v>
                </c:pt>
                <c:pt idx="10">
                  <c:v>611</c:v>
                </c:pt>
                <c:pt idx="11">
                  <c:v>759</c:v>
                </c:pt>
                <c:pt idx="12">
                  <c:v>560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Engineering!$F$2</c:f>
              <c:strCache>
                <c:ptCount val="1"/>
                <c:pt idx="0">
                  <c:v>  &gt; 30 Days Old</c:v>
                </c:pt>
              </c:strCache>
            </c:strRef>
          </c:tx>
          <c:cat>
            <c:numRef>
              <c:f>Engineering!$A$46:$A$58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42416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Engineering!$F$46:$F$58</c:f>
              <c:numCache>
                <c:formatCode>#,##0_);[Red]\(#,##0\)</c:formatCode>
                <c:ptCount val="13"/>
                <c:pt idx="0">
                  <c:v>186</c:v>
                </c:pt>
                <c:pt idx="1">
                  <c:v>298</c:v>
                </c:pt>
                <c:pt idx="2">
                  <c:v>322</c:v>
                </c:pt>
                <c:pt idx="3">
                  <c:v>416</c:v>
                </c:pt>
                <c:pt idx="4">
                  <c:v>483</c:v>
                </c:pt>
                <c:pt idx="5">
                  <c:v>54</c:v>
                </c:pt>
                <c:pt idx="6">
                  <c:v>119</c:v>
                </c:pt>
                <c:pt idx="7">
                  <c:v>205</c:v>
                </c:pt>
                <c:pt idx="8">
                  <c:v>200</c:v>
                </c:pt>
                <c:pt idx="9">
                  <c:v>273</c:v>
                </c:pt>
                <c:pt idx="10">
                  <c:v>378</c:v>
                </c:pt>
                <c:pt idx="11">
                  <c:v>500</c:v>
                </c:pt>
                <c:pt idx="12">
                  <c:v>261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Engineering!$G$2</c:f>
              <c:strCache>
                <c:ptCount val="1"/>
                <c:pt idx="0">
                  <c:v>Hold for Funds </c:v>
                </c:pt>
              </c:strCache>
            </c:strRef>
          </c:tx>
          <c:cat>
            <c:numRef>
              <c:f>Engineering!$A$46:$A$58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42416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Engineering!$G$46:$G$58</c:f>
              <c:numCache>
                <c:formatCode>General</c:formatCode>
                <c:ptCount val="13"/>
                <c:pt idx="7" formatCode="#,##0_);[Red]\(#,##0\)">
                  <c:v>4</c:v>
                </c:pt>
                <c:pt idx="8" formatCode="#,##0_);[Red]\(#,##0\)">
                  <c:v>5</c:v>
                </c:pt>
                <c:pt idx="9" formatCode="#,##0_);[Red]\(#,##0\)">
                  <c:v>7</c:v>
                </c:pt>
                <c:pt idx="10" formatCode="#,##0_);[Red]\(#,##0\)">
                  <c:v>9</c:v>
                </c:pt>
                <c:pt idx="11" formatCode="#,##0_);[Red]\(#,##0\)">
                  <c:v>8</c:v>
                </c:pt>
                <c:pt idx="12" formatCode="#,##0_);[Red]\(#,##0\)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781720"/>
        <c:axId val="342782112"/>
      </c:lineChart>
      <c:dateAx>
        <c:axId val="3427817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342782112"/>
        <c:crosses val="autoZero"/>
        <c:auto val="1"/>
        <c:lblOffset val="100"/>
        <c:baseTimeUnit val="months"/>
      </c:dateAx>
      <c:valAx>
        <c:axId val="342782112"/>
        <c:scaling>
          <c:orientation val="minMax"/>
        </c:scaling>
        <c:delete val="0"/>
        <c:axPos val="l"/>
        <c:majorGridlines/>
        <c:numFmt formatCode="#,##0_);[Red]\(#,##0\)" sourceLinked="0"/>
        <c:majorTickMark val="out"/>
        <c:minorTickMark val="none"/>
        <c:tickLblPos val="nextTo"/>
        <c:crossAx val="3427817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Work Orders Completed on Time</a:t>
            </a:r>
          </a:p>
          <a:p>
            <a:pPr>
              <a:defRPr/>
            </a:pPr>
            <a:r>
              <a:rPr lang="en-US"/>
              <a:t>ENGINEERING MAINTENANCE</a:t>
            </a:r>
          </a:p>
        </c:rich>
      </c:tx>
      <c:layout>
        <c:manualLayout>
          <c:xMode val="edge"/>
          <c:yMode val="edge"/>
          <c:x val="0.25048403624204513"/>
          <c:y val="3.198252852510888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419937124903608E-2"/>
          <c:y val="0.21111682018662425"/>
          <c:w val="0.88221065139241628"/>
          <c:h val="0.55233966129882595"/>
        </c:manualLayout>
      </c:layout>
      <c:lineChart>
        <c:grouping val="standard"/>
        <c:varyColors val="0"/>
        <c:ser>
          <c:idx val="0"/>
          <c:order val="0"/>
          <c:tx>
            <c:strRef>
              <c:f>Engineering!$B$60</c:f>
              <c:strCache>
                <c:ptCount val="1"/>
                <c:pt idx="0">
                  <c:v>Goal</c:v>
                </c:pt>
              </c:strCache>
            </c:strRef>
          </c:tx>
          <c:cat>
            <c:numRef>
              <c:f>Engineering!$A$107:$A$119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Engineering!$B$107:$B$119</c:f>
              <c:numCache>
                <c:formatCode>0%</c:formatCode>
                <c:ptCount val="13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Engineering!$E$60</c:f>
              <c:strCache>
                <c:ptCount val="1"/>
                <c:pt idx="0">
                  <c:v>Actual</c:v>
                </c:pt>
              </c:strCache>
            </c:strRef>
          </c:tx>
          <c:dLbls>
            <c:dLbl>
              <c:idx val="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Engineering!$A$107:$A$119</c:f>
              <c:numCache>
                <c:formatCode>mmm\-yy</c:formatCode>
                <c:ptCount val="13"/>
                <c:pt idx="0">
                  <c:v>42231</c:v>
                </c:pt>
                <c:pt idx="1">
                  <c:v>42262</c:v>
                </c:pt>
                <c:pt idx="2">
                  <c:v>42292</c:v>
                </c:pt>
                <c:pt idx="3">
                  <c:v>42309</c:v>
                </c:pt>
                <c:pt idx="4">
                  <c:v>42339</c:v>
                </c:pt>
                <c:pt idx="5">
                  <c:v>42370</c:v>
                </c:pt>
                <c:pt idx="6">
                  <c:v>42401</c:v>
                </c:pt>
                <c:pt idx="7">
                  <c:v>42430</c:v>
                </c:pt>
                <c:pt idx="8">
                  <c:v>42461</c:v>
                </c:pt>
                <c:pt idx="9">
                  <c:v>42491</c:v>
                </c:pt>
                <c:pt idx="10">
                  <c:v>42522</c:v>
                </c:pt>
                <c:pt idx="11">
                  <c:v>42552</c:v>
                </c:pt>
                <c:pt idx="12">
                  <c:v>42583</c:v>
                </c:pt>
              </c:numCache>
            </c:numRef>
          </c:cat>
          <c:val>
            <c:numRef>
              <c:f>Engineering!$E$107:$E$119</c:f>
              <c:numCache>
                <c:formatCode>0%</c:formatCode>
                <c:ptCount val="13"/>
                <c:pt idx="0">
                  <c:v>0.86600496277915628</c:v>
                </c:pt>
                <c:pt idx="1">
                  <c:v>0.84420289855072461</c:v>
                </c:pt>
                <c:pt idx="2">
                  <c:v>0.85514834205933687</c:v>
                </c:pt>
                <c:pt idx="3">
                  <c:v>0.8571428571428571</c:v>
                </c:pt>
                <c:pt idx="4">
                  <c:v>0.86423841059602646</c:v>
                </c:pt>
                <c:pt idx="5">
                  <c:v>0.86567164179104472</c:v>
                </c:pt>
                <c:pt idx="6">
                  <c:v>0.86051080550098236</c:v>
                </c:pt>
                <c:pt idx="7">
                  <c:v>0.85032537960954446</c:v>
                </c:pt>
                <c:pt idx="8">
                  <c:v>0.90953545232273836</c:v>
                </c:pt>
                <c:pt idx="9">
                  <c:v>0.88164251207729472</c:v>
                </c:pt>
                <c:pt idx="10">
                  <c:v>0.87919463087248317</c:v>
                </c:pt>
                <c:pt idx="11">
                  <c:v>0.85012919896640826</c:v>
                </c:pt>
                <c:pt idx="12">
                  <c:v>0.77878787878787881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783288"/>
        <c:axId val="342783680"/>
      </c:lineChart>
      <c:dateAx>
        <c:axId val="3427832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342783680"/>
        <c:crosses val="autoZero"/>
        <c:auto val="1"/>
        <c:lblOffset val="100"/>
        <c:baseTimeUnit val="months"/>
      </c:dateAx>
      <c:valAx>
        <c:axId val="342783680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3427832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4" Type="http://schemas.openxmlformats.org/officeDocument/2006/relationships/chart" Target="../charts/chart19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Relationship Id="rId4" Type="http://schemas.openxmlformats.org/officeDocument/2006/relationships/chart" Target="../charts/chart38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116417</xdr:colOff>
      <xdr:row>1</xdr:row>
      <xdr:rowOff>52918</xdr:rowOff>
    </xdr:from>
    <xdr:to>
      <xdr:col>23</xdr:col>
      <xdr:colOff>518583</xdr:colOff>
      <xdr:row>28</xdr:row>
      <xdr:rowOff>52916</xdr:rowOff>
    </xdr:to>
    <xdr:graphicFrame macro="">
      <xdr:nvGraphicFramePr>
        <xdr:cNvPr id="3" name="Chart 2" title="Curb Appeal III - Project % Complete Per Week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33</xdr:row>
      <xdr:rowOff>0</xdr:rowOff>
    </xdr:from>
    <xdr:to>
      <xdr:col>23</xdr:col>
      <xdr:colOff>402166</xdr:colOff>
      <xdr:row>62</xdr:row>
      <xdr:rowOff>169331</xdr:rowOff>
    </xdr:to>
    <xdr:graphicFrame macro="">
      <xdr:nvGraphicFramePr>
        <xdr:cNvPr id="4" name="Chart 3" title="Curb Appeal III - Project % Complete Per Week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190499</xdr:rowOff>
    </xdr:from>
    <xdr:to>
      <xdr:col>16</xdr:col>
      <xdr:colOff>504825</xdr:colOff>
      <xdr:row>52</xdr:row>
      <xdr:rowOff>161924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12989</xdr:colOff>
      <xdr:row>8</xdr:row>
      <xdr:rowOff>121227</xdr:rowOff>
    </xdr:from>
    <xdr:to>
      <xdr:col>13</xdr:col>
      <xdr:colOff>207819</xdr:colOff>
      <xdr:row>9</xdr:row>
      <xdr:rowOff>159327</xdr:rowOff>
    </xdr:to>
    <xdr:sp macro="" textlink="">
      <xdr:nvSpPr>
        <xdr:cNvPr id="9" name="TextBox 8"/>
        <xdr:cNvSpPr txBox="1"/>
      </xdr:nvSpPr>
      <xdr:spPr>
        <a:xfrm>
          <a:off x="7300480" y="2289463"/>
          <a:ext cx="804430" cy="2182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endParaRPr lang="en-US" sz="800"/>
        </a:p>
      </xdr:txBody>
    </xdr:sp>
    <xdr:clientData/>
  </xdr:twoCellAnchor>
  <xdr:oneCellAnchor>
    <xdr:from>
      <xdr:col>11</xdr:col>
      <xdr:colOff>47625</xdr:colOff>
      <xdr:row>59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6724650" y="2532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244929</xdr:colOff>
      <xdr:row>119</xdr:row>
      <xdr:rowOff>13608</xdr:rowOff>
    </xdr:from>
    <xdr:to>
      <xdr:col>12</xdr:col>
      <xdr:colOff>204107</xdr:colOff>
      <xdr:row>137</xdr:row>
      <xdr:rowOff>122464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190500</xdr:colOff>
      <xdr:row>193</xdr:row>
      <xdr:rowOff>136071</xdr:rowOff>
    </xdr:from>
    <xdr:to>
      <xdr:col>13</xdr:col>
      <xdr:colOff>714374</xdr:colOff>
      <xdr:row>218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0.15936</cdr:x>
      <cdr:y>0.01951</cdr:y>
    </cdr:from>
    <cdr:to>
      <cdr:x>0.89866</cdr:x>
      <cdr:y>0.13402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958649" y="68572"/>
          <a:ext cx="4447220" cy="4024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 i="0" baseline="0">
              <a:effectLst/>
              <a:latin typeface="+mn-lt"/>
              <a:ea typeface="+mn-ea"/>
              <a:cs typeface="+mn-cs"/>
            </a:rPr>
            <a:t>Work Order Backlog - Grounds Maintenance</a:t>
          </a:r>
          <a:endParaRPr lang="en-US" sz="1800">
            <a:effectLst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400049</xdr:colOff>
      <xdr:row>0</xdr:row>
      <xdr:rowOff>761999</xdr:rowOff>
    </xdr:from>
    <xdr:to>
      <xdr:col>19</xdr:col>
      <xdr:colOff>276224</xdr:colOff>
      <xdr:row>57</xdr:row>
      <xdr:rowOff>38100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161925</xdr:colOff>
      <xdr:row>119</xdr:row>
      <xdr:rowOff>9525</xdr:rowOff>
    </xdr:from>
    <xdr:to>
      <xdr:col>10</xdr:col>
      <xdr:colOff>619125</xdr:colOff>
      <xdr:row>139</xdr:row>
      <xdr:rowOff>180976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160</xdr:row>
      <xdr:rowOff>59266</xdr:rowOff>
    </xdr:from>
    <xdr:to>
      <xdr:col>20</xdr:col>
      <xdr:colOff>556683</xdr:colOff>
      <xdr:row>199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180974</xdr:colOff>
      <xdr:row>15</xdr:row>
      <xdr:rowOff>42862</xdr:rowOff>
    </xdr:from>
    <xdr:to>
      <xdr:col>31</xdr:col>
      <xdr:colOff>400049</xdr:colOff>
      <xdr:row>35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47625</xdr:colOff>
      <xdr:row>30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6524625" y="7648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9</xdr:col>
      <xdr:colOff>391584</xdr:colOff>
      <xdr:row>0</xdr:row>
      <xdr:rowOff>52917</xdr:rowOff>
    </xdr:from>
    <xdr:to>
      <xdr:col>23</xdr:col>
      <xdr:colOff>550334</xdr:colOff>
      <xdr:row>29</xdr:row>
      <xdr:rowOff>137583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33</xdr:row>
      <xdr:rowOff>0</xdr:rowOff>
    </xdr:from>
    <xdr:to>
      <xdr:col>25</xdr:col>
      <xdr:colOff>230716</xdr:colOff>
      <xdr:row>88</xdr:row>
      <xdr:rowOff>95250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47625</xdr:colOff>
      <xdr:row>37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5553075" y="2578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105835</xdr:colOff>
      <xdr:row>18</xdr:row>
      <xdr:rowOff>74083</xdr:rowOff>
    </xdr:from>
    <xdr:to>
      <xdr:col>21</xdr:col>
      <xdr:colOff>254001</xdr:colOff>
      <xdr:row>38</xdr:row>
      <xdr:rowOff>127000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96205</xdr:colOff>
      <xdr:row>117</xdr:row>
      <xdr:rowOff>142874</xdr:rowOff>
    </xdr:from>
    <xdr:to>
      <xdr:col>7</xdr:col>
      <xdr:colOff>428626</xdr:colOff>
      <xdr:row>134</xdr:row>
      <xdr:rowOff>52388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440532</xdr:colOff>
      <xdr:row>184</xdr:row>
      <xdr:rowOff>23813</xdr:rowOff>
    </xdr:from>
    <xdr:to>
      <xdr:col>7</xdr:col>
      <xdr:colOff>250032</xdr:colOff>
      <xdr:row>200</xdr:row>
      <xdr:rowOff>119064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416720</xdr:colOff>
      <xdr:row>184</xdr:row>
      <xdr:rowOff>59531</xdr:rowOff>
    </xdr:from>
    <xdr:to>
      <xdr:col>16</xdr:col>
      <xdr:colOff>333376</xdr:colOff>
      <xdr:row>200</xdr:row>
      <xdr:rowOff>130970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571501</xdr:colOff>
      <xdr:row>117</xdr:row>
      <xdr:rowOff>178592</xdr:rowOff>
    </xdr:from>
    <xdr:to>
      <xdr:col>16</xdr:col>
      <xdr:colOff>47626</xdr:colOff>
      <xdr:row>134</xdr:row>
      <xdr:rowOff>116201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188120</xdr:colOff>
      <xdr:row>50</xdr:row>
      <xdr:rowOff>47625</xdr:rowOff>
    </xdr:from>
    <xdr:to>
      <xdr:col>7</xdr:col>
      <xdr:colOff>381001</xdr:colOff>
      <xdr:row>67</xdr:row>
      <xdr:rowOff>154779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450532</xdr:colOff>
      <xdr:row>50</xdr:row>
      <xdr:rowOff>59532</xdr:rowOff>
    </xdr:from>
    <xdr:to>
      <xdr:col>15</xdr:col>
      <xdr:colOff>369093</xdr:colOff>
      <xdr:row>67</xdr:row>
      <xdr:rowOff>130967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178595</xdr:colOff>
      <xdr:row>247</xdr:row>
      <xdr:rowOff>35718</xdr:rowOff>
    </xdr:from>
    <xdr:to>
      <xdr:col>7</xdr:col>
      <xdr:colOff>85725</xdr:colOff>
      <xdr:row>264</xdr:row>
      <xdr:rowOff>83818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345281</xdr:colOff>
      <xdr:row>247</xdr:row>
      <xdr:rowOff>119062</xdr:rowOff>
    </xdr:from>
    <xdr:to>
      <xdr:col>15</xdr:col>
      <xdr:colOff>583406</xdr:colOff>
      <xdr:row>265</xdr:row>
      <xdr:rowOff>11904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112396</xdr:colOff>
      <xdr:row>16</xdr:row>
      <xdr:rowOff>13336</xdr:rowOff>
    </xdr:from>
    <xdr:to>
      <xdr:col>20</xdr:col>
      <xdr:colOff>160020</xdr:colOff>
      <xdr:row>40</xdr:row>
      <xdr:rowOff>93346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586740</xdr:colOff>
      <xdr:row>56</xdr:row>
      <xdr:rowOff>99060</xdr:rowOff>
    </xdr:from>
    <xdr:to>
      <xdr:col>25</xdr:col>
      <xdr:colOff>15240</xdr:colOff>
      <xdr:row>78</xdr:row>
      <xdr:rowOff>68580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859984</xdr:colOff>
      <xdr:row>0</xdr:row>
      <xdr:rowOff>372188</xdr:rowOff>
    </xdr:from>
    <xdr:to>
      <xdr:col>23</xdr:col>
      <xdr:colOff>505307</xdr:colOff>
      <xdr:row>17</xdr:row>
      <xdr:rowOff>132927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68580</xdr:colOff>
      <xdr:row>18</xdr:row>
      <xdr:rowOff>163830</xdr:rowOff>
    </xdr:from>
    <xdr:to>
      <xdr:col>28</xdr:col>
      <xdr:colOff>0</xdr:colOff>
      <xdr:row>39</xdr:row>
      <xdr:rowOff>45720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71</xdr:row>
      <xdr:rowOff>106680</xdr:rowOff>
    </xdr:from>
    <xdr:to>
      <xdr:col>9</xdr:col>
      <xdr:colOff>175260</xdr:colOff>
      <xdr:row>93</xdr:row>
      <xdr:rowOff>175260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49</xdr:row>
      <xdr:rowOff>175260</xdr:rowOff>
    </xdr:from>
    <xdr:to>
      <xdr:col>9</xdr:col>
      <xdr:colOff>144780</xdr:colOff>
      <xdr:row>71</xdr:row>
      <xdr:rowOff>68580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8</xdr:col>
      <xdr:colOff>571500</xdr:colOff>
      <xdr:row>19</xdr:row>
      <xdr:rowOff>128270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577850</xdr:colOff>
      <xdr:row>40</xdr:row>
      <xdr:rowOff>31750</xdr:rowOff>
    </xdr:to>
    <xdr:graphicFrame macro="">
      <xdr:nvGraphicFramePr>
        <xdr:cNvPr id="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70274</xdr:colOff>
      <xdr:row>0</xdr:row>
      <xdr:rowOff>178224</xdr:rowOff>
    </xdr:from>
    <xdr:to>
      <xdr:col>27</xdr:col>
      <xdr:colOff>588434</xdr:colOff>
      <xdr:row>17</xdr:row>
      <xdr:rowOff>132927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68580</xdr:colOff>
      <xdr:row>18</xdr:row>
      <xdr:rowOff>34290</xdr:rowOff>
    </xdr:from>
    <xdr:to>
      <xdr:col>28</xdr:col>
      <xdr:colOff>0</xdr:colOff>
      <xdr:row>38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0.06474</cdr:x>
      <cdr:y>0.02807</cdr:y>
    </cdr:from>
    <cdr:to>
      <cdr:x>0.91322</cdr:x>
      <cdr:y>0.10581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97417" y="137583"/>
          <a:ext cx="6519333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53340</xdr:colOff>
      <xdr:row>1</xdr:row>
      <xdr:rowOff>34290</xdr:rowOff>
    </xdr:from>
    <xdr:to>
      <xdr:col>27</xdr:col>
      <xdr:colOff>22860</xdr:colOff>
      <xdr:row>17</xdr:row>
      <xdr:rowOff>175260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68580</xdr:colOff>
      <xdr:row>18</xdr:row>
      <xdr:rowOff>34290</xdr:rowOff>
    </xdr:from>
    <xdr:to>
      <xdr:col>27</xdr:col>
      <xdr:colOff>0</xdr:colOff>
      <xdr:row>38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0.06474</cdr:x>
      <cdr:y>0.02807</cdr:y>
    </cdr:from>
    <cdr:to>
      <cdr:x>0.91322</cdr:x>
      <cdr:y>0.10581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97417" y="137583"/>
          <a:ext cx="6519333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76201</xdr:colOff>
      <xdr:row>2</xdr:row>
      <xdr:rowOff>0</xdr:rowOff>
    </xdr:from>
    <xdr:to>
      <xdr:col>16</xdr:col>
      <xdr:colOff>202406</xdr:colOff>
      <xdr:row>34</xdr:row>
      <xdr:rowOff>178594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0.72301</cdr:x>
      <cdr:y>0.57028</cdr:y>
    </cdr:from>
    <cdr:to>
      <cdr:x>0.95649</cdr:x>
      <cdr:y>0.85388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52375" y="2973974"/>
          <a:ext cx="1405485" cy="14789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1100"/>
            <a:t>Using a 5-point scale, customers are encouraged to fill out our project satisfaction survey upon completion of requested service. </a:t>
          </a:r>
        </a:p>
      </cdr:txBody>
    </cdr:sp>
  </cdr:relSizeAnchor>
  <cdr:relSizeAnchor xmlns:cdr="http://schemas.openxmlformats.org/drawingml/2006/chartDrawing">
    <cdr:from>
      <cdr:x>0.00615</cdr:x>
      <cdr:y>0.16606</cdr:y>
    </cdr:from>
    <cdr:to>
      <cdr:x>0.07481</cdr:x>
      <cdr:y>0.27207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47625" y="913031"/>
          <a:ext cx="531691" cy="582875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0.00302</cdr:x>
      <cdr:y>0.80785</cdr:y>
    </cdr:from>
    <cdr:to>
      <cdr:x>0.06863</cdr:x>
      <cdr:y>0.90916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23472" y="4285988"/>
          <a:ext cx="509927" cy="537498"/>
        </a:xfrm>
        <a:prstGeom xmlns:a="http://schemas.openxmlformats.org/drawingml/2006/main" prst="rect">
          <a:avLst/>
        </a:prstGeom>
      </cdr:spPr>
    </cdr:pic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111920</xdr:colOff>
      <xdr:row>34</xdr:row>
      <xdr:rowOff>114299</xdr:rowOff>
    </xdr:from>
    <xdr:to>
      <xdr:col>15</xdr:col>
      <xdr:colOff>569120</xdr:colOff>
      <xdr:row>61</xdr:row>
      <xdr:rowOff>178594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0.72301</cdr:x>
      <cdr:y>0.57028</cdr:y>
    </cdr:from>
    <cdr:to>
      <cdr:x>0.95264</cdr:x>
      <cdr:y>0.71546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598863" y="3135575"/>
          <a:ext cx="1778214" cy="7982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1100"/>
            <a:t>Using a 5-point scale, customers are encouraged to fill out our work order satisfaction survey upon completion of requested service. </a:t>
          </a:r>
        </a:p>
      </cdr:txBody>
    </cdr:sp>
  </cdr:relSizeAnchor>
  <cdr:relSizeAnchor xmlns:cdr="http://schemas.openxmlformats.org/drawingml/2006/chartDrawing">
    <cdr:from>
      <cdr:x>0.00615</cdr:x>
      <cdr:y>0.16606</cdr:y>
    </cdr:from>
    <cdr:to>
      <cdr:x>0.07481</cdr:x>
      <cdr:y>0.27207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47625" y="913031"/>
          <a:ext cx="531691" cy="582875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0.00302</cdr:x>
      <cdr:y>0.80785</cdr:y>
    </cdr:from>
    <cdr:to>
      <cdr:x>0.06863</cdr:x>
      <cdr:y>0.90916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23472" y="4285988"/>
          <a:ext cx="509927" cy="537498"/>
        </a:xfrm>
        <a:prstGeom xmlns:a="http://schemas.openxmlformats.org/drawingml/2006/main" prst="rect">
          <a:avLst/>
        </a:prstGeom>
      </cdr:spPr>
    </cdr:pic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411477</xdr:colOff>
      <xdr:row>1</xdr:row>
      <xdr:rowOff>76200</xdr:rowOff>
    </xdr:from>
    <xdr:to>
      <xdr:col>21</xdr:col>
      <xdr:colOff>325545</xdr:colOff>
      <xdr:row>52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710044</xdr:colOff>
      <xdr:row>13</xdr:row>
      <xdr:rowOff>56286</xdr:rowOff>
    </xdr:from>
    <xdr:to>
      <xdr:col>12</xdr:col>
      <xdr:colOff>138545</xdr:colOff>
      <xdr:row>14</xdr:row>
      <xdr:rowOff>92653</xdr:rowOff>
    </xdr:to>
    <xdr:sp macro="" textlink="">
      <xdr:nvSpPr>
        <xdr:cNvPr id="5" name="TextBox 4"/>
        <xdr:cNvSpPr txBox="1"/>
      </xdr:nvSpPr>
      <xdr:spPr>
        <a:xfrm>
          <a:off x="6286499" y="2397704"/>
          <a:ext cx="813955" cy="2164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endParaRPr lang="en-US" sz="800"/>
        </a:p>
      </xdr:txBody>
    </xdr:sp>
    <xdr:clientData/>
  </xdr:twoCellAnchor>
  <xdr:twoCellAnchor>
    <xdr:from>
      <xdr:col>0</xdr:col>
      <xdr:colOff>266700</xdr:colOff>
      <xdr:row>120</xdr:row>
      <xdr:rowOff>123825</xdr:rowOff>
    </xdr:from>
    <xdr:to>
      <xdr:col>11</xdr:col>
      <xdr:colOff>171450</xdr:colOff>
      <xdr:row>138</xdr:row>
      <xdr:rowOff>161924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228598</xdr:colOff>
      <xdr:row>141</xdr:row>
      <xdr:rowOff>0</xdr:rowOff>
    </xdr:from>
    <xdr:to>
      <xdr:col>22</xdr:col>
      <xdr:colOff>390524</xdr:colOff>
      <xdr:row>197</xdr:row>
      <xdr:rowOff>104775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8658</xdr:colOff>
      <xdr:row>0</xdr:row>
      <xdr:rowOff>121226</xdr:rowOff>
    </xdr:from>
    <xdr:to>
      <xdr:col>15</xdr:col>
      <xdr:colOff>112568</xdr:colOff>
      <xdr:row>53</xdr:row>
      <xdr:rowOff>129886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47625</xdr:colOff>
      <xdr:row>66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4672965" y="229971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207817</xdr:colOff>
      <xdr:row>119</xdr:row>
      <xdr:rowOff>95250</xdr:rowOff>
    </xdr:from>
    <xdr:to>
      <xdr:col>11</xdr:col>
      <xdr:colOff>809624</xdr:colOff>
      <xdr:row>138</xdr:row>
      <xdr:rowOff>76200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11</xdr:col>
      <xdr:colOff>47625</xdr:colOff>
      <xdr:row>67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7684943" y="56717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8</xdr:col>
      <xdr:colOff>467590</xdr:colOff>
      <xdr:row>139</xdr:row>
      <xdr:rowOff>51955</xdr:rowOff>
    </xdr:from>
    <xdr:to>
      <xdr:col>18</xdr:col>
      <xdr:colOff>95249</xdr:colOff>
      <xdr:row>194</xdr:row>
      <xdr:rowOff>43294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1</xdr:row>
      <xdr:rowOff>0</xdr:rowOff>
    </xdr:from>
    <xdr:to>
      <xdr:col>31</xdr:col>
      <xdr:colOff>8660</xdr:colOff>
      <xdr:row>58</xdr:row>
      <xdr:rowOff>43297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0</xdr:colOff>
      <xdr:row>140</xdr:row>
      <xdr:rowOff>0</xdr:rowOff>
    </xdr:from>
    <xdr:to>
      <xdr:col>39</xdr:col>
      <xdr:colOff>294409</xdr:colOff>
      <xdr:row>194</xdr:row>
      <xdr:rowOff>181839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e3294\AppData\Local\Microsoft\Windows\Temporary%20Internet%20Files\Content.Outlook\RQ8ZRBQ1\KPIs%20-%20Template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EM/New_Energy/Degree%20Days/Degree%20Days-%20Oct%208-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PM%20Energy%20Management/New%20Energy/Degree%20Days/Degree%20Days-%20Oct%208-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pm"/>
      <sheetName val="fpm2"/>
      <sheetName val="Utilities"/>
      <sheetName val="Business Services"/>
    </sheetNames>
    <sheetDataSet>
      <sheetData sheetId="0"/>
      <sheetData sheetId="1"/>
      <sheetData sheetId="2"/>
      <sheetData sheetId="3">
        <row r="4">
          <cell r="A4">
            <v>40878</v>
          </cell>
        </row>
        <row r="32">
          <cell r="B32" t="str">
            <v>% in 2 days or less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Graphs"/>
      <sheetName val="Monthly Data"/>
      <sheetName val="Calculations"/>
      <sheetName val="YTD Graphs"/>
    </sheetNames>
    <sheetDataSet>
      <sheetData sheetId="0"/>
      <sheetData sheetId="1"/>
      <sheetData sheetId="2"/>
      <sheetData sheetId="3">
        <row r="44">
          <cell r="J44" t="str">
            <v>Oct</v>
          </cell>
        </row>
        <row r="56">
          <cell r="J56" t="str">
            <v>Oct</v>
          </cell>
          <cell r="K56" t="str">
            <v>Nov</v>
          </cell>
          <cell r="L56" t="str">
            <v>Dec</v>
          </cell>
          <cell r="M56" t="str">
            <v>Jan</v>
          </cell>
          <cell r="N56" t="str">
            <v>Feb</v>
          </cell>
          <cell r="O56" t="str">
            <v>Mar</v>
          </cell>
          <cell r="P56" t="str">
            <v>Apr</v>
          </cell>
          <cell r="Q56" t="str">
            <v>May</v>
          </cell>
          <cell r="R56" t="str">
            <v>Jun</v>
          </cell>
          <cell r="S56" t="str">
            <v>Jul</v>
          </cell>
          <cell r="T56" t="str">
            <v>Aug</v>
          </cell>
          <cell r="U56" t="str">
            <v>Sep</v>
          </cell>
        </row>
        <row r="57">
          <cell r="I57" t="str">
            <v>10 Yr Ave</v>
          </cell>
          <cell r="J57">
            <v>12.9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0.2</v>
          </cell>
          <cell r="P57">
            <v>8</v>
          </cell>
          <cell r="Q57">
            <v>41.4</v>
          </cell>
          <cell r="R57">
            <v>175.7</v>
          </cell>
          <cell r="S57">
            <v>295.7</v>
          </cell>
          <cell r="T57">
            <v>249.5</v>
          </cell>
          <cell r="U57">
            <v>95.3</v>
          </cell>
        </row>
        <row r="58">
          <cell r="I58" t="str">
            <v>FY12 YTD</v>
          </cell>
          <cell r="J58">
            <v>6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17</v>
          </cell>
          <cell r="P58">
            <v>3</v>
          </cell>
          <cell r="Q58">
            <v>95</v>
          </cell>
          <cell r="R58">
            <v>240</v>
          </cell>
          <cell r="S58">
            <v>439</v>
          </cell>
          <cell r="T58">
            <v>253</v>
          </cell>
          <cell r="U58">
            <v>90</v>
          </cell>
        </row>
        <row r="62">
          <cell r="J62" t="str">
            <v>Oct</v>
          </cell>
          <cell r="K62" t="str">
            <v>Nov</v>
          </cell>
          <cell r="L62" t="str">
            <v>Dec</v>
          </cell>
          <cell r="M62" t="str">
            <v>Jan</v>
          </cell>
          <cell r="N62" t="str">
            <v>Feb</v>
          </cell>
          <cell r="O62" t="str">
            <v>Mar</v>
          </cell>
          <cell r="P62" t="str">
            <v>Apr</v>
          </cell>
          <cell r="Q62" t="str">
            <v>May</v>
          </cell>
          <cell r="R62" t="str">
            <v>Jun</v>
          </cell>
          <cell r="S62" t="str">
            <v>Jul</v>
          </cell>
          <cell r="T62" t="str">
            <v>Aug</v>
          </cell>
          <cell r="U62" t="str">
            <v>Sep</v>
          </cell>
        </row>
        <row r="63">
          <cell r="I63" t="str">
            <v>10 Yr Ave</v>
          </cell>
          <cell r="J63">
            <v>395.9</v>
          </cell>
          <cell r="K63">
            <v>669.5</v>
          </cell>
          <cell r="L63">
            <v>1097</v>
          </cell>
          <cell r="M63">
            <v>1218.9000000000001</v>
          </cell>
          <cell r="N63">
            <v>1072.5</v>
          </cell>
          <cell r="O63">
            <v>858.4</v>
          </cell>
          <cell r="P63">
            <v>446</v>
          </cell>
          <cell r="Q63">
            <v>219.2</v>
          </cell>
          <cell r="R63">
            <v>22.5</v>
          </cell>
          <cell r="S63">
            <v>2.8</v>
          </cell>
          <cell r="T63">
            <v>4.5999999999999996</v>
          </cell>
          <cell r="U63">
            <v>78.5</v>
          </cell>
        </row>
        <row r="64">
          <cell r="I64" t="str">
            <v>FY12 YTD</v>
          </cell>
          <cell r="J64">
            <v>331</v>
          </cell>
          <cell r="K64">
            <v>550</v>
          </cell>
          <cell r="L64">
            <v>909</v>
          </cell>
          <cell r="M64">
            <v>1057</v>
          </cell>
          <cell r="N64">
            <v>936</v>
          </cell>
          <cell r="O64">
            <v>459</v>
          </cell>
          <cell r="P64">
            <v>468</v>
          </cell>
          <cell r="Q64">
            <v>82</v>
          </cell>
          <cell r="R64">
            <v>19</v>
          </cell>
          <cell r="S64">
            <v>0</v>
          </cell>
          <cell r="T64">
            <v>1</v>
          </cell>
          <cell r="U64">
            <v>116</v>
          </cell>
        </row>
      </sheetData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Graphs"/>
      <sheetName val="Monthly Data"/>
      <sheetName val="Calculations"/>
      <sheetName val="YTD Graphs"/>
    </sheetNames>
    <sheetDataSet>
      <sheetData sheetId="0"/>
      <sheetData sheetId="1"/>
      <sheetData sheetId="2"/>
      <sheetData sheetId="3">
        <row r="43">
          <cell r="J43" t="str">
            <v>Oct</v>
          </cell>
          <cell r="K43" t="str">
            <v>Nov</v>
          </cell>
          <cell r="L43" t="str">
            <v>Dec</v>
          </cell>
          <cell r="M43" t="str">
            <v>Jan</v>
          </cell>
          <cell r="N43" t="str">
            <v>Feb</v>
          </cell>
          <cell r="O43" t="str">
            <v>Mar</v>
          </cell>
          <cell r="P43" t="str">
            <v>Apr</v>
          </cell>
          <cell r="Q43" t="str">
            <v>May</v>
          </cell>
          <cell r="R43" t="str">
            <v>Jun</v>
          </cell>
          <cell r="S43" t="str">
            <v>Jul</v>
          </cell>
          <cell r="T43" t="str">
            <v>Aug</v>
          </cell>
          <cell r="U43" t="str">
            <v>Sep</v>
          </cell>
        </row>
        <row r="44">
          <cell r="I44" t="str">
            <v>10 Yr Ave</v>
          </cell>
          <cell r="J44">
            <v>11.4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1.9</v>
          </cell>
          <cell r="P44">
            <v>4.2</v>
          </cell>
          <cell r="Q44">
            <v>70.8</v>
          </cell>
          <cell r="R44">
            <v>181.3</v>
          </cell>
          <cell r="S44">
            <v>298.10000000000002</v>
          </cell>
          <cell r="T44">
            <v>246.9</v>
          </cell>
          <cell r="U44">
            <v>83.7</v>
          </cell>
        </row>
        <row r="45">
          <cell r="I45" t="str">
            <v>FY15 YTD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77</v>
          </cell>
          <cell r="R45">
            <v>202</v>
          </cell>
          <cell r="S45">
            <v>366</v>
          </cell>
          <cell r="T45">
            <v>0</v>
          </cell>
          <cell r="U45">
            <v>0</v>
          </cell>
        </row>
        <row r="49">
          <cell r="J49" t="str">
            <v>Oct</v>
          </cell>
          <cell r="K49" t="str">
            <v>Nov</v>
          </cell>
          <cell r="L49" t="str">
            <v>Dec</v>
          </cell>
          <cell r="M49" t="str">
            <v>Jan</v>
          </cell>
          <cell r="N49" t="str">
            <v>Feb</v>
          </cell>
          <cell r="O49" t="str">
            <v>Mar</v>
          </cell>
          <cell r="P49" t="str">
            <v>Apr</v>
          </cell>
          <cell r="Q49" t="str">
            <v>May</v>
          </cell>
          <cell r="R49" t="str">
            <v>Jun</v>
          </cell>
          <cell r="S49" t="str">
            <v>Jul</v>
          </cell>
          <cell r="T49" t="str">
            <v>Aug</v>
          </cell>
          <cell r="U49" t="str">
            <v>Sep</v>
          </cell>
        </row>
        <row r="50">
          <cell r="I50" t="str">
            <v>10 Yr Ave</v>
          </cell>
          <cell r="J50">
            <v>386</v>
          </cell>
          <cell r="K50">
            <v>701.4</v>
          </cell>
          <cell r="L50">
            <v>1076.9000000000001</v>
          </cell>
          <cell r="M50">
            <v>1196.4000000000001</v>
          </cell>
          <cell r="N50">
            <v>1092.7</v>
          </cell>
          <cell r="O50">
            <v>848.4</v>
          </cell>
          <cell r="P50">
            <v>471.2</v>
          </cell>
          <cell r="Q50">
            <v>174.1</v>
          </cell>
          <cell r="R50">
            <v>22.1</v>
          </cell>
          <cell r="S50">
            <v>4.5999999999999996</v>
          </cell>
          <cell r="T50">
            <v>5.7</v>
          </cell>
          <cell r="U50">
            <v>93.2</v>
          </cell>
        </row>
        <row r="51">
          <cell r="I51" t="str">
            <v>FY15 YTD</v>
          </cell>
          <cell r="J51">
            <v>321</v>
          </cell>
          <cell r="K51">
            <v>566</v>
          </cell>
          <cell r="L51">
            <v>734</v>
          </cell>
          <cell r="M51">
            <v>1132</v>
          </cell>
          <cell r="N51">
            <v>974</v>
          </cell>
          <cell r="O51">
            <v>676</v>
          </cell>
          <cell r="P51">
            <v>102</v>
          </cell>
          <cell r="Q51">
            <v>196</v>
          </cell>
          <cell r="R51">
            <v>14</v>
          </cell>
          <cell r="S51">
            <v>0</v>
          </cell>
          <cell r="T51">
            <v>0</v>
          </cell>
          <cell r="U51" t="e">
            <v>#REF!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6"/>
  <sheetViews>
    <sheetView topLeftCell="A19" zoomScale="90" zoomScaleNormal="90" zoomScaleSheetLayoutView="80" workbookViewId="0">
      <selection activeCell="E40" sqref="E40"/>
    </sheetView>
  </sheetViews>
  <sheetFormatPr defaultRowHeight="15" x14ac:dyDescent="0.25"/>
  <cols>
    <col min="1" max="1" width="9.5703125" style="4" bestFit="1" customWidth="1"/>
    <col min="2" max="2" width="13.5703125" customWidth="1"/>
    <col min="3" max="3" width="10.7109375" bestFit="1" customWidth="1"/>
    <col min="4" max="4" width="5.140625" customWidth="1"/>
    <col min="7" max="7" width="11.85546875" style="186" bestFit="1" customWidth="1"/>
  </cols>
  <sheetData>
    <row r="2" spans="1:8" ht="71.45" customHeight="1" x14ac:dyDescent="0.25">
      <c r="A2" s="4" t="s">
        <v>30</v>
      </c>
      <c r="B2" s="5" t="s">
        <v>475</v>
      </c>
      <c r="C2" t="s">
        <v>2</v>
      </c>
      <c r="E2" s="4" t="s">
        <v>30</v>
      </c>
      <c r="F2" s="5" t="s">
        <v>476</v>
      </c>
      <c r="G2" s="186" t="s">
        <v>2</v>
      </c>
    </row>
    <row r="3" spans="1:8" x14ac:dyDescent="0.25">
      <c r="A3" s="4">
        <v>41583</v>
      </c>
      <c r="B3" s="172">
        <v>0</v>
      </c>
      <c r="C3" s="172">
        <v>0.04</v>
      </c>
      <c r="E3" s="4">
        <v>41876</v>
      </c>
      <c r="F3" s="172">
        <v>0</v>
      </c>
      <c r="G3" s="172">
        <v>0</v>
      </c>
    </row>
    <row r="4" spans="1:8" x14ac:dyDescent="0.25">
      <c r="A4" s="4">
        <f>A3+7</f>
        <v>41590</v>
      </c>
      <c r="B4" s="172">
        <v>0</v>
      </c>
      <c r="C4" s="172">
        <v>0.08</v>
      </c>
      <c r="E4" s="4">
        <f>E3+7</f>
        <v>41883</v>
      </c>
      <c r="F4" s="172">
        <v>0.09</v>
      </c>
      <c r="G4" s="172">
        <f>G3+3%</f>
        <v>0.03</v>
      </c>
    </row>
    <row r="5" spans="1:8" x14ac:dyDescent="0.25">
      <c r="A5" s="4">
        <f t="shared" ref="A5:A45" si="0">A4+7</f>
        <v>41597</v>
      </c>
      <c r="B5" s="172">
        <v>0</v>
      </c>
      <c r="C5" s="172">
        <v>0.12</v>
      </c>
      <c r="E5" s="4">
        <f t="shared" ref="E5:E39" si="1">E4+7</f>
        <v>41890</v>
      </c>
      <c r="F5" s="172">
        <v>0.19</v>
      </c>
      <c r="G5" s="172">
        <f t="shared" ref="G5:G36" si="2">G4+3%</f>
        <v>0.06</v>
      </c>
    </row>
    <row r="6" spans="1:8" x14ac:dyDescent="0.25">
      <c r="A6" s="4">
        <f t="shared" si="0"/>
        <v>41604</v>
      </c>
      <c r="B6" s="172">
        <v>0.2</v>
      </c>
      <c r="C6" s="172">
        <v>0.16</v>
      </c>
      <c r="E6" s="4">
        <f t="shared" si="1"/>
        <v>41897</v>
      </c>
      <c r="F6" s="172">
        <v>0.19</v>
      </c>
      <c r="G6" s="172">
        <f t="shared" si="2"/>
        <v>0.09</v>
      </c>
    </row>
    <row r="7" spans="1:8" x14ac:dyDescent="0.25">
      <c r="A7" s="4">
        <f t="shared" si="0"/>
        <v>41611</v>
      </c>
      <c r="B7" s="172">
        <v>0.26</v>
      </c>
      <c r="C7" s="172">
        <v>0.2</v>
      </c>
      <c r="E7" s="4">
        <f t="shared" si="1"/>
        <v>41904</v>
      </c>
      <c r="F7" s="172">
        <v>0.26</v>
      </c>
      <c r="G7" s="172">
        <f t="shared" si="2"/>
        <v>0.12</v>
      </c>
    </row>
    <row r="8" spans="1:8" x14ac:dyDescent="0.25">
      <c r="A8" s="4">
        <f t="shared" si="0"/>
        <v>41618</v>
      </c>
      <c r="B8" s="172">
        <v>0.26</v>
      </c>
      <c r="C8" s="172">
        <v>0.24</v>
      </c>
      <c r="E8" s="4">
        <f t="shared" si="1"/>
        <v>41911</v>
      </c>
      <c r="F8" s="172">
        <v>0.26</v>
      </c>
      <c r="G8" s="172">
        <f t="shared" si="2"/>
        <v>0.15</v>
      </c>
    </row>
    <row r="9" spans="1:8" x14ac:dyDescent="0.25">
      <c r="A9" s="4">
        <f t="shared" si="0"/>
        <v>41625</v>
      </c>
      <c r="B9" s="172">
        <v>0.26</v>
      </c>
      <c r="C9" s="172">
        <v>0.28000000000000003</v>
      </c>
      <c r="E9" s="4">
        <f t="shared" si="1"/>
        <v>41918</v>
      </c>
      <c r="F9" s="172">
        <v>0.31</v>
      </c>
      <c r="G9" s="172">
        <f t="shared" si="2"/>
        <v>0.18</v>
      </c>
    </row>
    <row r="10" spans="1:8" x14ac:dyDescent="0.25">
      <c r="A10" s="4">
        <f t="shared" si="0"/>
        <v>41632</v>
      </c>
      <c r="B10" s="172">
        <v>0.26</v>
      </c>
      <c r="C10" s="172">
        <v>0.32</v>
      </c>
      <c r="E10" s="4">
        <f t="shared" si="1"/>
        <v>41925</v>
      </c>
      <c r="F10" s="172">
        <v>0.37</v>
      </c>
      <c r="G10" s="172">
        <f t="shared" si="2"/>
        <v>0.21</v>
      </c>
    </row>
    <row r="11" spans="1:8" x14ac:dyDescent="0.25">
      <c r="A11" s="4">
        <f t="shared" si="0"/>
        <v>41639</v>
      </c>
      <c r="B11" s="172">
        <v>0.26</v>
      </c>
      <c r="C11" s="172">
        <v>0.36</v>
      </c>
      <c r="E11" s="4">
        <f t="shared" si="1"/>
        <v>41932</v>
      </c>
      <c r="F11" s="172">
        <v>0.37</v>
      </c>
      <c r="G11" s="172">
        <f t="shared" si="2"/>
        <v>0.24</v>
      </c>
    </row>
    <row r="12" spans="1:8" x14ac:dyDescent="0.25">
      <c r="A12" s="4">
        <f t="shared" si="0"/>
        <v>41646</v>
      </c>
      <c r="B12" s="172">
        <v>0.38</v>
      </c>
      <c r="C12" s="172">
        <v>0.4</v>
      </c>
      <c r="E12" s="4">
        <f t="shared" si="1"/>
        <v>41939</v>
      </c>
      <c r="F12" s="172">
        <v>0.37</v>
      </c>
      <c r="G12" s="172">
        <f t="shared" si="2"/>
        <v>0.27</v>
      </c>
    </row>
    <row r="13" spans="1:8" x14ac:dyDescent="0.25">
      <c r="A13" s="4">
        <f t="shared" si="0"/>
        <v>41653</v>
      </c>
      <c r="B13" s="172">
        <v>0.38</v>
      </c>
      <c r="C13" s="172">
        <v>0.44</v>
      </c>
      <c r="E13" s="4">
        <f t="shared" si="1"/>
        <v>41946</v>
      </c>
      <c r="F13" s="172">
        <v>0.43</v>
      </c>
      <c r="G13" s="172">
        <f t="shared" si="2"/>
        <v>0.30000000000000004</v>
      </c>
      <c r="H13">
        <v>25</v>
      </c>
    </row>
    <row r="14" spans="1:8" x14ac:dyDescent="0.25">
      <c r="A14" s="4">
        <f t="shared" si="0"/>
        <v>41660</v>
      </c>
      <c r="B14" s="172">
        <v>0.38</v>
      </c>
      <c r="C14" s="172">
        <v>0.48</v>
      </c>
      <c r="E14" s="4">
        <f t="shared" si="1"/>
        <v>41953</v>
      </c>
      <c r="F14" s="172">
        <v>0.43</v>
      </c>
      <c r="G14" s="172">
        <f t="shared" si="2"/>
        <v>0.33000000000000007</v>
      </c>
    </row>
    <row r="15" spans="1:8" x14ac:dyDescent="0.25">
      <c r="A15" s="4">
        <f t="shared" si="0"/>
        <v>41667</v>
      </c>
      <c r="B15" s="172">
        <v>0.38</v>
      </c>
      <c r="C15" s="172">
        <v>0.52</v>
      </c>
      <c r="E15" s="4">
        <f t="shared" si="1"/>
        <v>41960</v>
      </c>
      <c r="F15" s="172">
        <v>0.48</v>
      </c>
      <c r="G15" s="172">
        <f t="shared" si="2"/>
        <v>0.3600000000000001</v>
      </c>
    </row>
    <row r="16" spans="1:8" x14ac:dyDescent="0.25">
      <c r="A16" s="4">
        <f t="shared" si="0"/>
        <v>41674</v>
      </c>
      <c r="B16" s="172">
        <v>0.38</v>
      </c>
      <c r="C16" s="172">
        <v>0.56000000000000005</v>
      </c>
      <c r="E16" s="4">
        <f t="shared" si="1"/>
        <v>41967</v>
      </c>
      <c r="F16" s="172">
        <v>0.54</v>
      </c>
      <c r="G16" s="172">
        <f t="shared" si="2"/>
        <v>0.39000000000000012</v>
      </c>
    </row>
    <row r="17" spans="1:8" x14ac:dyDescent="0.25">
      <c r="A17" s="4">
        <f t="shared" si="0"/>
        <v>41681</v>
      </c>
      <c r="B17" s="172">
        <v>0.38</v>
      </c>
      <c r="C17" s="172">
        <v>0.6</v>
      </c>
      <c r="E17" s="4">
        <f t="shared" si="1"/>
        <v>41974</v>
      </c>
      <c r="F17" s="172">
        <v>0.56000000000000005</v>
      </c>
      <c r="G17" s="172">
        <f t="shared" si="2"/>
        <v>0.42000000000000015</v>
      </c>
    </row>
    <row r="18" spans="1:8" x14ac:dyDescent="0.25">
      <c r="A18" s="4">
        <f t="shared" si="0"/>
        <v>41688</v>
      </c>
      <c r="B18" s="172">
        <v>0.38</v>
      </c>
      <c r="C18" s="172">
        <v>0.64</v>
      </c>
      <c r="E18" s="4">
        <f t="shared" si="1"/>
        <v>41981</v>
      </c>
      <c r="F18" s="172">
        <v>0.57999999999999996</v>
      </c>
      <c r="G18" s="172">
        <f t="shared" si="2"/>
        <v>0.45000000000000018</v>
      </c>
    </row>
    <row r="19" spans="1:8" x14ac:dyDescent="0.25">
      <c r="A19" s="4">
        <f t="shared" si="0"/>
        <v>41695</v>
      </c>
      <c r="B19" s="172">
        <v>0.38</v>
      </c>
      <c r="C19" s="172">
        <v>0.68</v>
      </c>
      <c r="E19" s="4">
        <f t="shared" si="1"/>
        <v>41988</v>
      </c>
      <c r="F19" s="172">
        <v>0.71</v>
      </c>
      <c r="G19" s="172">
        <f t="shared" si="2"/>
        <v>0.4800000000000002</v>
      </c>
    </row>
    <row r="20" spans="1:8" x14ac:dyDescent="0.25">
      <c r="A20" s="4">
        <f t="shared" si="0"/>
        <v>41702</v>
      </c>
      <c r="B20" s="172">
        <v>0.47</v>
      </c>
      <c r="C20" s="172">
        <v>0.72</v>
      </c>
      <c r="E20" s="4">
        <f t="shared" si="1"/>
        <v>41995</v>
      </c>
      <c r="F20" s="172"/>
      <c r="G20" s="172">
        <f t="shared" si="2"/>
        <v>0.51000000000000023</v>
      </c>
    </row>
    <row r="21" spans="1:8" x14ac:dyDescent="0.25">
      <c r="A21" s="4">
        <f t="shared" si="0"/>
        <v>41709</v>
      </c>
      <c r="B21" s="172">
        <v>0.49</v>
      </c>
      <c r="C21" s="172">
        <v>0.76</v>
      </c>
      <c r="E21" s="4">
        <f t="shared" si="1"/>
        <v>42002</v>
      </c>
      <c r="F21" s="172"/>
      <c r="G21" s="172">
        <f t="shared" si="2"/>
        <v>0.54000000000000026</v>
      </c>
    </row>
    <row r="22" spans="1:8" x14ac:dyDescent="0.25">
      <c r="A22" s="4">
        <f t="shared" si="0"/>
        <v>41716</v>
      </c>
      <c r="B22" s="172">
        <v>0.57999999999999996</v>
      </c>
      <c r="C22" s="172">
        <v>0.8</v>
      </c>
      <c r="E22" s="4">
        <f t="shared" si="1"/>
        <v>42009</v>
      </c>
      <c r="F22" s="172"/>
      <c r="G22" s="172">
        <f t="shared" si="2"/>
        <v>0.57000000000000028</v>
      </c>
      <c r="H22">
        <v>50</v>
      </c>
    </row>
    <row r="23" spans="1:8" x14ac:dyDescent="0.25">
      <c r="A23" s="4">
        <f t="shared" si="0"/>
        <v>41723</v>
      </c>
      <c r="B23" s="172">
        <v>0.62</v>
      </c>
      <c r="C23" s="172">
        <v>0.84</v>
      </c>
      <c r="E23" s="4">
        <f t="shared" si="1"/>
        <v>42016</v>
      </c>
      <c r="F23" s="172"/>
      <c r="G23" s="172">
        <f t="shared" si="2"/>
        <v>0.60000000000000031</v>
      </c>
    </row>
    <row r="24" spans="1:8" x14ac:dyDescent="0.25">
      <c r="A24" s="4">
        <f t="shared" si="0"/>
        <v>41730</v>
      </c>
      <c r="B24" s="172">
        <v>0.66</v>
      </c>
      <c r="C24" s="172">
        <v>0.88</v>
      </c>
      <c r="E24" s="4">
        <f t="shared" si="1"/>
        <v>42023</v>
      </c>
      <c r="F24" s="172"/>
      <c r="G24" s="172">
        <f t="shared" si="2"/>
        <v>0.63000000000000034</v>
      </c>
    </row>
    <row r="25" spans="1:8" x14ac:dyDescent="0.25">
      <c r="A25" s="4">
        <f t="shared" si="0"/>
        <v>41737</v>
      </c>
      <c r="B25" s="172">
        <v>0.71</v>
      </c>
      <c r="C25" s="172">
        <v>0.92</v>
      </c>
      <c r="E25" s="4">
        <f t="shared" si="1"/>
        <v>42030</v>
      </c>
      <c r="F25" s="172"/>
      <c r="G25" s="172">
        <f t="shared" si="2"/>
        <v>0.66000000000000036</v>
      </c>
    </row>
    <row r="26" spans="1:8" x14ac:dyDescent="0.25">
      <c r="A26" s="4">
        <f t="shared" si="0"/>
        <v>41744</v>
      </c>
      <c r="B26" s="172">
        <v>0.71</v>
      </c>
      <c r="C26" s="172">
        <v>0.96</v>
      </c>
      <c r="E26" s="4">
        <f t="shared" si="1"/>
        <v>42037</v>
      </c>
      <c r="F26" s="172">
        <v>0.79</v>
      </c>
      <c r="G26" s="172">
        <f t="shared" si="2"/>
        <v>0.69000000000000039</v>
      </c>
    </row>
    <row r="27" spans="1:8" x14ac:dyDescent="0.25">
      <c r="A27" s="4">
        <f t="shared" si="0"/>
        <v>41751</v>
      </c>
      <c r="B27" s="172">
        <v>0.73</v>
      </c>
      <c r="C27" s="172">
        <v>0.99</v>
      </c>
      <c r="E27" s="4">
        <f t="shared" si="1"/>
        <v>42044</v>
      </c>
      <c r="F27" s="172">
        <v>0.82</v>
      </c>
      <c r="G27" s="172">
        <f t="shared" si="2"/>
        <v>0.72000000000000042</v>
      </c>
    </row>
    <row r="28" spans="1:8" x14ac:dyDescent="0.25">
      <c r="A28" s="4">
        <f t="shared" si="0"/>
        <v>41758</v>
      </c>
      <c r="B28" s="172">
        <v>0.74</v>
      </c>
      <c r="C28" s="172">
        <v>1</v>
      </c>
      <c r="E28" s="4">
        <f t="shared" si="1"/>
        <v>42051</v>
      </c>
      <c r="F28" s="172">
        <v>0.84</v>
      </c>
      <c r="G28" s="172">
        <f t="shared" si="2"/>
        <v>0.75000000000000044</v>
      </c>
    </row>
    <row r="29" spans="1:8" x14ac:dyDescent="0.25">
      <c r="A29" s="4">
        <f t="shared" si="0"/>
        <v>41765</v>
      </c>
      <c r="B29" s="172">
        <v>0.76</v>
      </c>
      <c r="C29" s="172">
        <v>1</v>
      </c>
      <c r="E29" s="4">
        <f t="shared" si="1"/>
        <v>42058</v>
      </c>
      <c r="F29" s="172">
        <v>0.85</v>
      </c>
      <c r="G29" s="172">
        <f t="shared" si="2"/>
        <v>0.78000000000000047</v>
      </c>
    </row>
    <row r="30" spans="1:8" x14ac:dyDescent="0.25">
      <c r="A30" s="4">
        <f t="shared" si="0"/>
        <v>41772</v>
      </c>
      <c r="B30" s="172">
        <v>0.78</v>
      </c>
      <c r="C30" s="172">
        <v>1</v>
      </c>
      <c r="E30" s="4">
        <f t="shared" si="1"/>
        <v>42065</v>
      </c>
      <c r="F30" s="172">
        <v>0.88</v>
      </c>
      <c r="G30" s="172">
        <f t="shared" si="2"/>
        <v>0.8100000000000005</v>
      </c>
      <c r="H30">
        <v>75</v>
      </c>
    </row>
    <row r="31" spans="1:8" x14ac:dyDescent="0.25">
      <c r="A31" s="4">
        <f t="shared" si="0"/>
        <v>41779</v>
      </c>
      <c r="B31" s="172">
        <v>0.79</v>
      </c>
      <c r="C31" s="172">
        <v>1</v>
      </c>
      <c r="E31" s="4">
        <f t="shared" si="1"/>
        <v>42072</v>
      </c>
      <c r="F31" s="172">
        <v>0.92</v>
      </c>
      <c r="G31" s="172">
        <f t="shared" si="2"/>
        <v>0.84000000000000052</v>
      </c>
    </row>
    <row r="32" spans="1:8" x14ac:dyDescent="0.25">
      <c r="A32" s="4">
        <f t="shared" si="0"/>
        <v>41786</v>
      </c>
      <c r="B32" s="172">
        <v>0.82</v>
      </c>
      <c r="C32" s="172">
        <v>1</v>
      </c>
      <c r="E32" s="4">
        <f t="shared" si="1"/>
        <v>42079</v>
      </c>
      <c r="F32" s="172">
        <v>0.92</v>
      </c>
      <c r="G32" s="172">
        <f t="shared" si="2"/>
        <v>0.87000000000000055</v>
      </c>
    </row>
    <row r="33" spans="1:7" x14ac:dyDescent="0.25">
      <c r="A33" s="4">
        <f t="shared" si="0"/>
        <v>41793</v>
      </c>
      <c r="B33" s="172">
        <v>0.83</v>
      </c>
      <c r="C33" s="172">
        <v>1</v>
      </c>
      <c r="E33" s="4">
        <f t="shared" si="1"/>
        <v>42086</v>
      </c>
      <c r="F33" s="172">
        <v>0.94</v>
      </c>
      <c r="G33" s="172">
        <f t="shared" si="2"/>
        <v>0.90000000000000058</v>
      </c>
    </row>
    <row r="34" spans="1:7" x14ac:dyDescent="0.25">
      <c r="A34" s="4">
        <f t="shared" si="0"/>
        <v>41800</v>
      </c>
      <c r="B34" s="172">
        <v>0.85</v>
      </c>
      <c r="C34" s="172">
        <v>1</v>
      </c>
      <c r="E34" s="4">
        <f t="shared" si="1"/>
        <v>42093</v>
      </c>
      <c r="F34" s="172"/>
      <c r="G34" s="172">
        <f t="shared" si="2"/>
        <v>0.9300000000000006</v>
      </c>
    </row>
    <row r="35" spans="1:7" x14ac:dyDescent="0.25">
      <c r="A35" s="4">
        <f t="shared" si="0"/>
        <v>41807</v>
      </c>
      <c r="B35" s="172">
        <v>0.86</v>
      </c>
      <c r="C35" s="172">
        <v>1</v>
      </c>
      <c r="E35" s="4">
        <f t="shared" si="1"/>
        <v>42100</v>
      </c>
      <c r="F35" s="172"/>
      <c r="G35" s="172">
        <f t="shared" si="2"/>
        <v>0.96000000000000063</v>
      </c>
    </row>
    <row r="36" spans="1:7" x14ac:dyDescent="0.25">
      <c r="A36" s="4">
        <f t="shared" si="0"/>
        <v>41814</v>
      </c>
      <c r="B36" s="172">
        <v>0.87</v>
      </c>
      <c r="C36" s="172">
        <v>1</v>
      </c>
      <c r="E36" s="4">
        <f t="shared" si="1"/>
        <v>42107</v>
      </c>
      <c r="F36" s="172"/>
      <c r="G36" s="172">
        <f t="shared" si="2"/>
        <v>0.99000000000000066</v>
      </c>
    </row>
    <row r="37" spans="1:7" x14ac:dyDescent="0.25">
      <c r="A37" s="4">
        <f t="shared" si="0"/>
        <v>41821</v>
      </c>
      <c r="B37" s="172">
        <v>0.91</v>
      </c>
      <c r="C37" s="172">
        <v>1</v>
      </c>
      <c r="E37" s="4">
        <f t="shared" si="1"/>
        <v>42114</v>
      </c>
      <c r="F37" s="172"/>
      <c r="G37" s="172">
        <v>1</v>
      </c>
    </row>
    <row r="38" spans="1:7" x14ac:dyDescent="0.25">
      <c r="A38" s="4">
        <f t="shared" si="0"/>
        <v>41828</v>
      </c>
      <c r="B38" s="172">
        <v>0.91</v>
      </c>
      <c r="C38" s="172">
        <v>1</v>
      </c>
      <c r="E38" s="4">
        <f t="shared" si="1"/>
        <v>42121</v>
      </c>
      <c r="F38" s="172">
        <v>0.96</v>
      </c>
      <c r="G38" s="172">
        <v>1</v>
      </c>
    </row>
    <row r="39" spans="1:7" x14ac:dyDescent="0.25">
      <c r="A39" s="4">
        <f t="shared" si="0"/>
        <v>41835</v>
      </c>
      <c r="B39" s="172">
        <v>0.91</v>
      </c>
      <c r="C39" s="172">
        <v>1</v>
      </c>
      <c r="E39" s="4">
        <f t="shared" si="1"/>
        <v>42128</v>
      </c>
      <c r="F39" s="172"/>
      <c r="G39" s="172">
        <v>1</v>
      </c>
    </row>
    <row r="40" spans="1:7" x14ac:dyDescent="0.25">
      <c r="A40" s="4">
        <f t="shared" si="0"/>
        <v>41842</v>
      </c>
      <c r="B40" s="172">
        <v>0.92</v>
      </c>
      <c r="C40" s="172">
        <v>1</v>
      </c>
      <c r="E40" s="4"/>
      <c r="F40" s="172"/>
      <c r="G40" s="172"/>
    </row>
    <row r="41" spans="1:7" x14ac:dyDescent="0.25">
      <c r="A41" s="4">
        <f t="shared" si="0"/>
        <v>41849</v>
      </c>
      <c r="B41" s="172">
        <v>0.92</v>
      </c>
      <c r="C41" s="172">
        <v>1</v>
      </c>
      <c r="E41" s="4"/>
      <c r="F41" s="172"/>
      <c r="G41" s="172"/>
    </row>
    <row r="42" spans="1:7" x14ac:dyDescent="0.25">
      <c r="A42" s="4">
        <f t="shared" si="0"/>
        <v>41856</v>
      </c>
      <c r="B42" s="172">
        <v>0.93</v>
      </c>
      <c r="C42" s="172">
        <v>1</v>
      </c>
      <c r="E42" s="4"/>
      <c r="F42" s="172"/>
      <c r="G42" s="172"/>
    </row>
    <row r="43" spans="1:7" x14ac:dyDescent="0.25">
      <c r="A43" s="4">
        <f t="shared" si="0"/>
        <v>41863</v>
      </c>
      <c r="B43" s="172">
        <v>0.94</v>
      </c>
      <c r="C43" s="172">
        <v>1</v>
      </c>
      <c r="E43" s="4"/>
      <c r="F43" s="172"/>
      <c r="G43" s="172"/>
    </row>
    <row r="44" spans="1:7" x14ac:dyDescent="0.25">
      <c r="A44" s="4">
        <f t="shared" si="0"/>
        <v>41870</v>
      </c>
      <c r="B44" s="172">
        <v>0.94</v>
      </c>
      <c r="C44" s="172">
        <v>1</v>
      </c>
      <c r="E44" s="4"/>
      <c r="F44" s="172"/>
      <c r="G44" s="172"/>
    </row>
    <row r="45" spans="1:7" x14ac:dyDescent="0.25">
      <c r="A45" s="4">
        <f t="shared" si="0"/>
        <v>41877</v>
      </c>
      <c r="B45" s="172">
        <v>0.95</v>
      </c>
      <c r="C45" s="172">
        <v>1</v>
      </c>
      <c r="E45" s="4"/>
      <c r="F45" s="172"/>
      <c r="G45" s="172"/>
    </row>
    <row r="46" spans="1:7" x14ac:dyDescent="0.25">
      <c r="A46" s="4">
        <v>42086</v>
      </c>
      <c r="B46" s="172">
        <v>0.96</v>
      </c>
      <c r="C46" s="172">
        <v>1</v>
      </c>
    </row>
  </sheetData>
  <pageMargins left="0.7" right="0.7" top="0.75" bottom="0.75" header="0.3" footer="0.3"/>
  <pageSetup scale="53" orientation="landscape" r:id="rId1"/>
  <colBreaks count="1" manualBreakCount="1">
    <brk id="16" max="39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7"/>
  <sheetViews>
    <sheetView tabSelected="1" topLeftCell="A202" zoomScale="80" zoomScaleNormal="80" workbookViewId="0">
      <selection activeCell="E240" sqref="E240"/>
    </sheetView>
  </sheetViews>
  <sheetFormatPr defaultColWidth="9.140625" defaultRowHeight="15" x14ac:dyDescent="0.25"/>
  <cols>
    <col min="1" max="1" width="9.140625" style="23"/>
    <col min="2" max="2" width="11.140625" style="23" customWidth="1"/>
    <col min="3" max="3" width="9.140625" style="23"/>
    <col min="4" max="4" width="10.140625" style="23" customWidth="1"/>
    <col min="5" max="5" width="16.7109375" style="23" customWidth="1"/>
    <col min="6" max="16384" width="9.140625" style="23"/>
  </cols>
  <sheetData>
    <row r="1" spans="1:8" ht="18.75" x14ac:dyDescent="0.3">
      <c r="A1" s="123" t="s">
        <v>311</v>
      </c>
      <c r="B1" s="29"/>
      <c r="D1" s="29"/>
      <c r="E1" s="29"/>
    </row>
    <row r="2" spans="1:8" ht="15.75" x14ac:dyDescent="0.25">
      <c r="A2" s="102" t="s">
        <v>312</v>
      </c>
      <c r="B2" s="102"/>
      <c r="C2" s="102"/>
      <c r="D2" s="102"/>
      <c r="E2" s="102"/>
      <c r="F2" s="102"/>
      <c r="G2" s="102"/>
    </row>
    <row r="3" spans="1:8" ht="47.25" customHeight="1" x14ac:dyDescent="0.25">
      <c r="A3" s="23" t="s">
        <v>57</v>
      </c>
      <c r="B3" s="29" t="s">
        <v>429</v>
      </c>
      <c r="C3" s="23" t="s">
        <v>2</v>
      </c>
      <c r="D3" s="29" t="s">
        <v>315</v>
      </c>
      <c r="E3" s="119" t="s">
        <v>430</v>
      </c>
      <c r="G3" s="29" t="s">
        <v>281</v>
      </c>
      <c r="H3" s="23" t="s">
        <v>318</v>
      </c>
    </row>
    <row r="4" spans="1:8" hidden="1" x14ac:dyDescent="0.25">
      <c r="A4" s="24">
        <v>41214</v>
      </c>
      <c r="B4" s="25">
        <f>E4/D4</f>
        <v>0.2857142857142857</v>
      </c>
      <c r="C4" s="26">
        <v>0.9</v>
      </c>
      <c r="D4" s="30">
        <v>7</v>
      </c>
      <c r="E4" s="31">
        <v>2</v>
      </c>
      <c r="G4" s="40">
        <v>390.85</v>
      </c>
      <c r="H4" s="23">
        <v>90</v>
      </c>
    </row>
    <row r="5" spans="1:8" hidden="1" x14ac:dyDescent="0.25">
      <c r="A5" s="24">
        <v>41244</v>
      </c>
      <c r="B5" s="25">
        <f t="shared" ref="B5:B49" si="0">E5/D5</f>
        <v>5.8823529411764705E-2</v>
      </c>
      <c r="C5" s="26">
        <v>0.9</v>
      </c>
      <c r="D5" s="31">
        <v>17</v>
      </c>
      <c r="E5" s="31">
        <v>1</v>
      </c>
      <c r="G5" s="40">
        <v>417.21</v>
      </c>
      <c r="H5" s="23">
        <v>90</v>
      </c>
    </row>
    <row r="6" spans="1:8" hidden="1" x14ac:dyDescent="0.25">
      <c r="A6" s="24">
        <v>41275</v>
      </c>
      <c r="B6" s="25">
        <f t="shared" si="0"/>
        <v>0</v>
      </c>
      <c r="C6" s="26">
        <v>0.9</v>
      </c>
      <c r="D6" s="31">
        <v>18</v>
      </c>
      <c r="E6" s="31">
        <v>0</v>
      </c>
      <c r="G6" s="40">
        <v>507</v>
      </c>
      <c r="H6" s="23">
        <v>90</v>
      </c>
    </row>
    <row r="7" spans="1:8" hidden="1" x14ac:dyDescent="0.25">
      <c r="A7" s="24">
        <v>41306</v>
      </c>
      <c r="B7" s="25">
        <f t="shared" si="0"/>
        <v>0</v>
      </c>
      <c r="C7" s="26">
        <v>0.9</v>
      </c>
      <c r="D7" s="31">
        <v>38</v>
      </c>
      <c r="E7" s="31">
        <v>0</v>
      </c>
      <c r="G7" s="40">
        <v>473.7</v>
      </c>
      <c r="H7" s="23">
        <v>90</v>
      </c>
    </row>
    <row r="8" spans="1:8" hidden="1" x14ac:dyDescent="0.25">
      <c r="A8" s="24">
        <v>41334</v>
      </c>
      <c r="B8" s="25">
        <f t="shared" si="0"/>
        <v>0</v>
      </c>
      <c r="C8" s="26">
        <v>0.9</v>
      </c>
      <c r="D8" s="31">
        <v>9</v>
      </c>
      <c r="E8" s="31">
        <v>0</v>
      </c>
      <c r="G8" s="40">
        <v>462.2</v>
      </c>
      <c r="H8" s="23">
        <v>90</v>
      </c>
    </row>
    <row r="9" spans="1:8" hidden="1" x14ac:dyDescent="0.25">
      <c r="A9" s="24">
        <v>41365</v>
      </c>
      <c r="B9" s="25">
        <f t="shared" si="0"/>
        <v>0.14285714285714285</v>
      </c>
      <c r="C9" s="26">
        <v>0.9</v>
      </c>
      <c r="D9" s="31">
        <v>7</v>
      </c>
      <c r="E9" s="31">
        <v>1</v>
      </c>
      <c r="G9" s="40">
        <v>251.6</v>
      </c>
      <c r="H9" s="23">
        <v>90</v>
      </c>
    </row>
    <row r="10" spans="1:8" hidden="1" x14ac:dyDescent="0.25">
      <c r="A10" s="24">
        <v>41395</v>
      </c>
      <c r="B10" s="25">
        <f t="shared" si="0"/>
        <v>4.1666666666666664E-2</v>
      </c>
      <c r="C10" s="145">
        <v>0.9</v>
      </c>
      <c r="D10" s="31">
        <v>24</v>
      </c>
      <c r="E10" s="31">
        <v>1</v>
      </c>
      <c r="G10" s="40">
        <v>274.2</v>
      </c>
      <c r="H10" s="143">
        <v>90</v>
      </c>
    </row>
    <row r="11" spans="1:8" hidden="1" x14ac:dyDescent="0.25">
      <c r="A11" s="24">
        <v>41426</v>
      </c>
      <c r="B11" s="25">
        <f t="shared" si="0"/>
        <v>7.407407407407407E-2</v>
      </c>
      <c r="C11" s="26">
        <v>0.9</v>
      </c>
      <c r="D11" s="31">
        <v>27</v>
      </c>
      <c r="E11" s="31">
        <v>2</v>
      </c>
      <c r="G11" s="40">
        <v>309.39999999999998</v>
      </c>
      <c r="H11" s="143">
        <v>90</v>
      </c>
    </row>
    <row r="12" spans="1:8" hidden="1" x14ac:dyDescent="0.25">
      <c r="A12" s="24">
        <v>41456</v>
      </c>
      <c r="B12" s="25">
        <f t="shared" si="0"/>
        <v>0.2</v>
      </c>
      <c r="C12" s="145">
        <v>0.9</v>
      </c>
      <c r="D12" s="31">
        <v>10</v>
      </c>
      <c r="E12" s="31">
        <v>2</v>
      </c>
      <c r="G12" s="40">
        <v>220.7</v>
      </c>
      <c r="H12" s="143">
        <v>90</v>
      </c>
    </row>
    <row r="13" spans="1:8" hidden="1" x14ac:dyDescent="0.25">
      <c r="A13" s="24">
        <v>41487</v>
      </c>
      <c r="B13" s="25">
        <f t="shared" si="0"/>
        <v>0.27777777777777779</v>
      </c>
      <c r="C13" s="145">
        <v>0.9</v>
      </c>
      <c r="D13" s="31">
        <v>18</v>
      </c>
      <c r="E13" s="31">
        <v>5</v>
      </c>
      <c r="G13" s="40">
        <v>203.7</v>
      </c>
      <c r="H13" s="143">
        <v>90</v>
      </c>
    </row>
    <row r="14" spans="1:8" hidden="1" x14ac:dyDescent="0.25">
      <c r="A14" s="24">
        <v>41518</v>
      </c>
      <c r="B14" s="25">
        <f t="shared" si="0"/>
        <v>8.3333333333333329E-2</v>
      </c>
      <c r="C14" s="145">
        <v>0.9</v>
      </c>
      <c r="D14" s="31">
        <v>12</v>
      </c>
      <c r="E14" s="31">
        <v>1</v>
      </c>
      <c r="G14" s="40">
        <v>324</v>
      </c>
      <c r="H14" s="143">
        <v>90</v>
      </c>
    </row>
    <row r="15" spans="1:8" hidden="1" x14ac:dyDescent="0.25">
      <c r="A15" s="24">
        <v>41548</v>
      </c>
      <c r="B15" s="144">
        <f t="shared" si="0"/>
        <v>0</v>
      </c>
      <c r="C15" s="145">
        <v>0.9</v>
      </c>
      <c r="D15" s="31">
        <v>6</v>
      </c>
      <c r="E15" s="31">
        <v>0</v>
      </c>
      <c r="G15" s="40">
        <v>425.3</v>
      </c>
      <c r="H15" s="143">
        <v>90</v>
      </c>
    </row>
    <row r="16" spans="1:8" hidden="1" x14ac:dyDescent="0.25">
      <c r="A16" s="24">
        <v>41579</v>
      </c>
      <c r="B16" s="144">
        <f t="shared" si="0"/>
        <v>0</v>
      </c>
      <c r="C16" s="145">
        <v>0.9</v>
      </c>
      <c r="D16" s="31">
        <v>4</v>
      </c>
      <c r="E16" s="31">
        <v>0</v>
      </c>
      <c r="G16" s="40">
        <v>433.3</v>
      </c>
      <c r="H16" s="143">
        <v>90</v>
      </c>
    </row>
    <row r="17" spans="1:8" s="143" customFormat="1" hidden="1" x14ac:dyDescent="0.25">
      <c r="A17" s="24">
        <v>41609</v>
      </c>
      <c r="B17" s="144">
        <f t="shared" si="0"/>
        <v>0</v>
      </c>
      <c r="C17" s="145">
        <v>0.9</v>
      </c>
      <c r="D17" s="31">
        <v>2</v>
      </c>
      <c r="E17" s="31">
        <v>0</v>
      </c>
      <c r="G17" s="40">
        <v>391</v>
      </c>
      <c r="H17" s="143">
        <v>90</v>
      </c>
    </row>
    <row r="18" spans="1:8" s="143" customFormat="1" hidden="1" x14ac:dyDescent="0.25">
      <c r="A18" s="174">
        <v>41640</v>
      </c>
      <c r="B18" s="144">
        <f t="shared" si="0"/>
        <v>0.375</v>
      </c>
      <c r="C18" s="145">
        <v>0.9</v>
      </c>
      <c r="D18" s="31">
        <v>8</v>
      </c>
      <c r="E18" s="31">
        <v>3</v>
      </c>
      <c r="G18" s="40">
        <v>239.5</v>
      </c>
      <c r="H18" s="143">
        <v>150</v>
      </c>
    </row>
    <row r="19" spans="1:8" s="143" customFormat="1" hidden="1" x14ac:dyDescent="0.25">
      <c r="A19" s="174">
        <v>41671</v>
      </c>
      <c r="B19" s="144">
        <f t="shared" si="0"/>
        <v>0</v>
      </c>
      <c r="C19" s="145">
        <v>0.9</v>
      </c>
      <c r="D19" s="31">
        <v>2</v>
      </c>
      <c r="E19" s="31">
        <v>0</v>
      </c>
      <c r="G19" s="40">
        <v>429.5</v>
      </c>
      <c r="H19" s="143">
        <v>150</v>
      </c>
    </row>
    <row r="20" spans="1:8" s="143" customFormat="1" hidden="1" x14ac:dyDescent="0.25">
      <c r="A20" s="174">
        <v>41699</v>
      </c>
      <c r="B20" s="144">
        <f t="shared" si="0"/>
        <v>0</v>
      </c>
      <c r="C20" s="145">
        <v>0.9</v>
      </c>
      <c r="D20" s="31">
        <v>14</v>
      </c>
      <c r="E20" s="31">
        <v>0</v>
      </c>
      <c r="G20" s="40">
        <v>304.8</v>
      </c>
      <c r="H20" s="143">
        <v>150</v>
      </c>
    </row>
    <row r="21" spans="1:8" s="143" customFormat="1" hidden="1" x14ac:dyDescent="0.25">
      <c r="A21" s="174">
        <v>41730</v>
      </c>
      <c r="B21" s="144">
        <f t="shared" si="0"/>
        <v>0</v>
      </c>
      <c r="C21" s="145">
        <v>0.9</v>
      </c>
      <c r="D21" s="31">
        <v>3</v>
      </c>
      <c r="E21" s="31">
        <v>0</v>
      </c>
      <c r="G21" s="40">
        <v>251.3</v>
      </c>
      <c r="H21" s="143">
        <v>150</v>
      </c>
    </row>
    <row r="22" spans="1:8" s="143" customFormat="1" hidden="1" x14ac:dyDescent="0.25">
      <c r="A22" s="174">
        <v>41760</v>
      </c>
      <c r="B22" s="144">
        <f t="shared" si="0"/>
        <v>0</v>
      </c>
      <c r="C22" s="145">
        <v>0.9</v>
      </c>
      <c r="D22" s="31">
        <v>1</v>
      </c>
      <c r="E22" s="31">
        <v>0</v>
      </c>
      <c r="G22" s="40">
        <v>153</v>
      </c>
      <c r="H22" s="143">
        <v>150</v>
      </c>
    </row>
    <row r="23" spans="1:8" s="143" customFormat="1" hidden="1" x14ac:dyDescent="0.25">
      <c r="A23" s="174">
        <v>41791</v>
      </c>
      <c r="B23" s="144">
        <f t="shared" si="0"/>
        <v>0</v>
      </c>
      <c r="C23" s="145">
        <v>0.9</v>
      </c>
      <c r="D23" s="31">
        <v>1</v>
      </c>
      <c r="E23" s="31">
        <v>0</v>
      </c>
      <c r="G23" s="40">
        <v>471</v>
      </c>
      <c r="H23" s="143">
        <v>150</v>
      </c>
    </row>
    <row r="24" spans="1:8" s="143" customFormat="1" hidden="1" x14ac:dyDescent="0.25">
      <c r="A24" s="174">
        <v>41821</v>
      </c>
      <c r="B24" s="144">
        <f t="shared" si="0"/>
        <v>0</v>
      </c>
      <c r="C24" s="145">
        <v>0.9</v>
      </c>
      <c r="D24" s="31">
        <v>1</v>
      </c>
      <c r="E24" s="31">
        <v>0</v>
      </c>
      <c r="G24" s="40">
        <v>202</v>
      </c>
      <c r="H24" s="143">
        <v>150</v>
      </c>
    </row>
    <row r="25" spans="1:8" s="143" customFormat="1" hidden="1" x14ac:dyDescent="0.25">
      <c r="A25" s="174">
        <v>41852</v>
      </c>
      <c r="B25" s="144" t="e">
        <f t="shared" si="0"/>
        <v>#DIV/0!</v>
      </c>
      <c r="C25" s="145">
        <v>0.9</v>
      </c>
      <c r="D25" s="31">
        <v>0</v>
      </c>
      <c r="E25" s="31">
        <v>0</v>
      </c>
      <c r="G25" s="40">
        <v>0</v>
      </c>
      <c r="H25" s="143">
        <v>150</v>
      </c>
    </row>
    <row r="26" spans="1:8" s="143" customFormat="1" hidden="1" x14ac:dyDescent="0.25">
      <c r="A26" s="174">
        <v>41883</v>
      </c>
      <c r="B26" s="144">
        <f t="shared" si="0"/>
        <v>0.6428571428571429</v>
      </c>
      <c r="C26" s="145">
        <v>0.9</v>
      </c>
      <c r="D26" s="31">
        <v>14</v>
      </c>
      <c r="E26" s="31">
        <v>9</v>
      </c>
      <c r="G26" s="40">
        <v>135</v>
      </c>
      <c r="H26" s="143">
        <v>150</v>
      </c>
    </row>
    <row r="27" spans="1:8" s="143" customFormat="1" hidden="1" x14ac:dyDescent="0.25">
      <c r="A27" s="174">
        <v>41913</v>
      </c>
      <c r="B27" s="144">
        <f t="shared" si="0"/>
        <v>0.2</v>
      </c>
      <c r="C27" s="145">
        <v>0.9</v>
      </c>
      <c r="D27" s="31">
        <v>5</v>
      </c>
      <c r="E27" s="31">
        <v>1</v>
      </c>
      <c r="G27" s="40">
        <v>234</v>
      </c>
      <c r="H27" s="143">
        <v>150</v>
      </c>
    </row>
    <row r="28" spans="1:8" s="143" customFormat="1" hidden="1" x14ac:dyDescent="0.25">
      <c r="A28" s="174">
        <v>41944</v>
      </c>
      <c r="B28" s="144">
        <f t="shared" si="0"/>
        <v>0</v>
      </c>
      <c r="C28" s="145">
        <v>0.9</v>
      </c>
      <c r="D28" s="31">
        <v>1</v>
      </c>
      <c r="E28" s="31">
        <v>0</v>
      </c>
      <c r="G28" s="40">
        <v>329</v>
      </c>
      <c r="H28" s="143">
        <v>150</v>
      </c>
    </row>
    <row r="29" spans="1:8" s="143" customFormat="1" hidden="1" x14ac:dyDescent="0.25">
      <c r="A29" s="174">
        <v>41974</v>
      </c>
      <c r="B29" s="144">
        <f t="shared" si="0"/>
        <v>0</v>
      </c>
      <c r="C29" s="145">
        <v>0.9</v>
      </c>
      <c r="D29" s="31">
        <v>3</v>
      </c>
      <c r="E29" s="31">
        <v>0</v>
      </c>
      <c r="G29" s="40">
        <v>370</v>
      </c>
      <c r="H29" s="143">
        <v>150</v>
      </c>
    </row>
    <row r="30" spans="1:8" s="143" customFormat="1" hidden="1" x14ac:dyDescent="0.25">
      <c r="A30" s="174">
        <v>42005</v>
      </c>
      <c r="B30" s="144">
        <f t="shared" si="0"/>
        <v>0.5</v>
      </c>
      <c r="C30" s="145">
        <v>0.9</v>
      </c>
      <c r="D30" s="31">
        <v>4</v>
      </c>
      <c r="E30" s="31">
        <v>2</v>
      </c>
      <c r="G30" s="40">
        <v>267</v>
      </c>
      <c r="H30" s="143">
        <v>150</v>
      </c>
    </row>
    <row r="31" spans="1:8" s="143" customFormat="1" hidden="1" x14ac:dyDescent="0.25">
      <c r="A31" s="174">
        <v>42036</v>
      </c>
      <c r="B31" s="144">
        <f t="shared" si="0"/>
        <v>0.5</v>
      </c>
      <c r="C31" s="145">
        <v>0.9</v>
      </c>
      <c r="D31" s="31">
        <v>4</v>
      </c>
      <c r="E31" s="31">
        <v>2</v>
      </c>
      <c r="G31" s="40">
        <v>222</v>
      </c>
      <c r="H31" s="143">
        <v>150</v>
      </c>
    </row>
    <row r="32" spans="1:8" s="143" customFormat="1" x14ac:dyDescent="0.25">
      <c r="A32" s="174">
        <v>42064</v>
      </c>
      <c r="B32" s="144">
        <f t="shared" si="0"/>
        <v>0.375</v>
      </c>
      <c r="C32" s="145">
        <v>0.9</v>
      </c>
      <c r="D32" s="31">
        <v>8</v>
      </c>
      <c r="E32" s="31">
        <v>3</v>
      </c>
      <c r="G32" s="40">
        <v>210</v>
      </c>
      <c r="H32" s="143">
        <v>150</v>
      </c>
    </row>
    <row r="33" spans="1:8" s="143" customFormat="1" x14ac:dyDescent="0.25">
      <c r="A33" s="174">
        <v>42095</v>
      </c>
      <c r="B33" s="144">
        <f t="shared" si="0"/>
        <v>0</v>
      </c>
      <c r="C33" s="145">
        <v>0.9</v>
      </c>
      <c r="D33" s="31">
        <v>1</v>
      </c>
      <c r="E33" s="31">
        <v>0</v>
      </c>
      <c r="G33" s="40">
        <v>189</v>
      </c>
      <c r="H33" s="143">
        <v>150</v>
      </c>
    </row>
    <row r="34" spans="1:8" s="143" customFormat="1" x14ac:dyDescent="0.25">
      <c r="A34" s="174">
        <v>42125</v>
      </c>
      <c r="B34" s="144">
        <f t="shared" si="0"/>
        <v>0.4</v>
      </c>
      <c r="C34" s="145">
        <v>0.9</v>
      </c>
      <c r="D34" s="31">
        <v>10</v>
      </c>
      <c r="E34" s="31">
        <v>4</v>
      </c>
      <c r="G34" s="40">
        <v>186</v>
      </c>
      <c r="H34" s="143">
        <v>150</v>
      </c>
    </row>
    <row r="35" spans="1:8" s="143" customFormat="1" x14ac:dyDescent="0.25">
      <c r="A35" s="174">
        <v>42156</v>
      </c>
      <c r="B35" s="144">
        <f t="shared" si="0"/>
        <v>0.375</v>
      </c>
      <c r="C35" s="145">
        <v>0.9</v>
      </c>
      <c r="D35" s="31">
        <v>8</v>
      </c>
      <c r="E35" s="31">
        <v>3</v>
      </c>
      <c r="G35" s="40">
        <v>185.5</v>
      </c>
      <c r="H35" s="143">
        <v>150</v>
      </c>
    </row>
    <row r="36" spans="1:8" s="143" customFormat="1" x14ac:dyDescent="0.25">
      <c r="A36" s="174">
        <v>42200</v>
      </c>
      <c r="B36" s="144">
        <f t="shared" si="0"/>
        <v>0.4</v>
      </c>
      <c r="C36" s="145">
        <v>0.9</v>
      </c>
      <c r="D36" s="31">
        <v>5</v>
      </c>
      <c r="E36" s="31">
        <v>2</v>
      </c>
      <c r="G36" s="40">
        <v>280</v>
      </c>
      <c r="H36" s="143">
        <v>150</v>
      </c>
    </row>
    <row r="37" spans="1:8" s="143" customFormat="1" x14ac:dyDescent="0.25">
      <c r="A37" s="174">
        <v>42217</v>
      </c>
      <c r="B37" s="144">
        <f t="shared" si="0"/>
        <v>1</v>
      </c>
      <c r="C37" s="145">
        <v>0.9</v>
      </c>
      <c r="D37" s="31">
        <v>5</v>
      </c>
      <c r="E37" s="31">
        <v>5</v>
      </c>
      <c r="G37" s="40">
        <v>74.5</v>
      </c>
      <c r="H37" s="143">
        <v>150</v>
      </c>
    </row>
    <row r="38" spans="1:8" s="143" customFormat="1" x14ac:dyDescent="0.25">
      <c r="A38" s="174">
        <v>42262</v>
      </c>
      <c r="B38" s="144">
        <f t="shared" si="0"/>
        <v>0.25</v>
      </c>
      <c r="C38" s="145">
        <v>0.9</v>
      </c>
      <c r="D38" s="31">
        <v>4</v>
      </c>
      <c r="E38" s="31">
        <v>1</v>
      </c>
      <c r="G38" s="40">
        <v>193.8</v>
      </c>
      <c r="H38" s="143">
        <v>150</v>
      </c>
    </row>
    <row r="39" spans="1:8" s="143" customFormat="1" x14ac:dyDescent="0.25">
      <c r="A39" s="174">
        <v>42292</v>
      </c>
      <c r="B39" s="144">
        <f t="shared" si="0"/>
        <v>0.3</v>
      </c>
      <c r="C39" s="145">
        <v>0.9</v>
      </c>
      <c r="D39" s="31">
        <v>10</v>
      </c>
      <c r="E39" s="31">
        <v>3</v>
      </c>
      <c r="G39" s="40">
        <v>245.9</v>
      </c>
      <c r="H39" s="143">
        <v>150</v>
      </c>
    </row>
    <row r="40" spans="1:8" s="143" customFormat="1" x14ac:dyDescent="0.25">
      <c r="A40" s="174">
        <v>42309</v>
      </c>
      <c r="B40" s="144">
        <f t="shared" si="0"/>
        <v>0</v>
      </c>
      <c r="C40" s="145">
        <v>0.9</v>
      </c>
      <c r="D40" s="31">
        <v>1</v>
      </c>
      <c r="E40" s="31">
        <v>0</v>
      </c>
      <c r="G40" s="40">
        <v>329</v>
      </c>
      <c r="H40" s="143">
        <v>150</v>
      </c>
    </row>
    <row r="41" spans="1:8" s="143" customFormat="1" x14ac:dyDescent="0.25">
      <c r="A41" s="174">
        <v>42339</v>
      </c>
      <c r="B41" s="144">
        <f t="shared" si="0"/>
        <v>1</v>
      </c>
      <c r="C41" s="145">
        <v>0.9</v>
      </c>
      <c r="D41" s="31">
        <v>3</v>
      </c>
      <c r="E41" s="31">
        <v>3</v>
      </c>
      <c r="G41" s="40">
        <v>46</v>
      </c>
      <c r="H41" s="143">
        <v>150</v>
      </c>
    </row>
    <row r="42" spans="1:8" s="143" customFormat="1" x14ac:dyDescent="0.25">
      <c r="A42" s="174">
        <v>42370</v>
      </c>
      <c r="B42" s="144">
        <f t="shared" si="0"/>
        <v>0.30769230769230771</v>
      </c>
      <c r="C42" s="145">
        <v>0.9</v>
      </c>
      <c r="D42" s="31">
        <v>13</v>
      </c>
      <c r="E42" s="31">
        <v>4</v>
      </c>
      <c r="G42" s="40">
        <v>210.5</v>
      </c>
      <c r="H42" s="143">
        <v>150</v>
      </c>
    </row>
    <row r="43" spans="1:8" s="143" customFormat="1" x14ac:dyDescent="0.25">
      <c r="A43" s="174">
        <v>42401</v>
      </c>
      <c r="B43" s="144">
        <f t="shared" si="0"/>
        <v>0.1</v>
      </c>
      <c r="C43" s="145">
        <v>0.9</v>
      </c>
      <c r="D43" s="31">
        <v>10</v>
      </c>
      <c r="E43" s="31">
        <v>1</v>
      </c>
      <c r="G43" s="40">
        <v>236.4</v>
      </c>
      <c r="H43" s="143">
        <v>150</v>
      </c>
    </row>
    <row r="44" spans="1:8" s="143" customFormat="1" x14ac:dyDescent="0.25">
      <c r="A44" s="174">
        <v>42430</v>
      </c>
      <c r="B44" s="144">
        <f t="shared" si="0"/>
        <v>0.33333333333333331</v>
      </c>
      <c r="C44" s="145">
        <v>0.9</v>
      </c>
      <c r="D44" s="31">
        <v>3</v>
      </c>
      <c r="E44" s="31">
        <v>1</v>
      </c>
      <c r="G44" s="40">
        <v>539.70000000000005</v>
      </c>
      <c r="H44" s="143">
        <v>150</v>
      </c>
    </row>
    <row r="45" spans="1:8" s="143" customFormat="1" x14ac:dyDescent="0.25">
      <c r="A45" s="174">
        <v>42461</v>
      </c>
      <c r="B45" s="144">
        <f t="shared" si="0"/>
        <v>0</v>
      </c>
      <c r="C45" s="145">
        <v>0.9</v>
      </c>
      <c r="D45" s="31">
        <v>2</v>
      </c>
      <c r="E45" s="31">
        <v>0</v>
      </c>
      <c r="G45" s="40">
        <v>257</v>
      </c>
      <c r="H45" s="143">
        <v>150</v>
      </c>
    </row>
    <row r="46" spans="1:8" s="143" customFormat="1" x14ac:dyDescent="0.25">
      <c r="A46" s="174">
        <v>42491</v>
      </c>
      <c r="B46" s="144">
        <f t="shared" si="0"/>
        <v>0.4</v>
      </c>
      <c r="C46" s="145">
        <v>0.9</v>
      </c>
      <c r="D46" s="31">
        <v>5</v>
      </c>
      <c r="E46" s="31">
        <v>2</v>
      </c>
      <c r="G46" s="40">
        <v>91</v>
      </c>
      <c r="H46" s="143">
        <v>150</v>
      </c>
    </row>
    <row r="47" spans="1:8" s="143" customFormat="1" x14ac:dyDescent="0.25">
      <c r="A47" s="174">
        <v>42522</v>
      </c>
      <c r="B47" s="144">
        <f t="shared" si="0"/>
        <v>0.05</v>
      </c>
      <c r="C47" s="145">
        <v>0.9</v>
      </c>
      <c r="D47" s="31">
        <v>20</v>
      </c>
      <c r="E47" s="31">
        <v>1</v>
      </c>
      <c r="G47" s="40">
        <v>1293</v>
      </c>
      <c r="H47" s="143">
        <v>150</v>
      </c>
    </row>
    <row r="48" spans="1:8" s="143" customFormat="1" x14ac:dyDescent="0.25">
      <c r="A48" s="174">
        <v>42552</v>
      </c>
      <c r="B48" s="144">
        <f t="shared" si="0"/>
        <v>0.4</v>
      </c>
      <c r="C48" s="145">
        <v>0.9</v>
      </c>
      <c r="D48" s="31">
        <v>5</v>
      </c>
      <c r="E48" s="31">
        <v>2</v>
      </c>
      <c r="G48" s="40">
        <v>268</v>
      </c>
      <c r="H48" s="143">
        <v>150</v>
      </c>
    </row>
    <row r="49" spans="1:20" s="143" customFormat="1" x14ac:dyDescent="0.25">
      <c r="A49" s="174">
        <v>42583</v>
      </c>
      <c r="B49" s="144">
        <f t="shared" si="0"/>
        <v>0.2</v>
      </c>
      <c r="C49" s="145">
        <v>0.9</v>
      </c>
      <c r="D49" s="31">
        <v>15</v>
      </c>
      <c r="E49" s="31">
        <v>3</v>
      </c>
      <c r="G49" s="40">
        <v>1415</v>
      </c>
      <c r="H49" s="143">
        <v>150</v>
      </c>
    </row>
    <row r="50" spans="1:20" s="143" customFormat="1" x14ac:dyDescent="0.25"/>
    <row r="51" spans="1:20" s="143" customFormat="1" x14ac:dyDescent="0.25"/>
    <row r="52" spans="1:20" s="143" customFormat="1" x14ac:dyDescent="0.25"/>
    <row r="53" spans="1:20" s="143" customFormat="1" x14ac:dyDescent="0.25"/>
    <row r="54" spans="1:20" s="143" customFormat="1" x14ac:dyDescent="0.25"/>
    <row r="55" spans="1:20" s="143" customFormat="1" x14ac:dyDescent="0.25"/>
    <row r="56" spans="1:20" s="143" customFormat="1" x14ac:dyDescent="0.25"/>
    <row r="57" spans="1:20" s="143" customFormat="1" x14ac:dyDescent="0.25"/>
    <row r="58" spans="1:20" x14ac:dyDescent="0.25">
      <c r="T58" s="143"/>
    </row>
    <row r="59" spans="1:20" x14ac:dyDescent="0.25">
      <c r="T59" s="143"/>
    </row>
    <row r="60" spans="1:20" hidden="1" x14ac:dyDescent="0.25"/>
    <row r="61" spans="1:20" x14ac:dyDescent="0.25">
      <c r="T61" s="143"/>
    </row>
    <row r="62" spans="1:20" x14ac:dyDescent="0.25">
      <c r="T62" s="143"/>
    </row>
    <row r="63" spans="1:20" x14ac:dyDescent="0.25">
      <c r="T63" s="143"/>
    </row>
    <row r="64" spans="1:20" x14ac:dyDescent="0.25">
      <c r="T64" s="143"/>
    </row>
    <row r="65" spans="1:20" x14ac:dyDescent="0.25">
      <c r="T65" s="143"/>
    </row>
    <row r="66" spans="1:20" x14ac:dyDescent="0.25">
      <c r="T66" s="143"/>
    </row>
    <row r="67" spans="1:20" x14ac:dyDescent="0.25">
      <c r="T67" s="143"/>
    </row>
    <row r="69" spans="1:20" ht="18.75" x14ac:dyDescent="0.3">
      <c r="A69" s="123" t="s">
        <v>309</v>
      </c>
      <c r="B69" s="124"/>
    </row>
    <row r="70" spans="1:20" ht="15.75" x14ac:dyDescent="0.25">
      <c r="A70" s="102" t="s">
        <v>310</v>
      </c>
      <c r="B70" s="102"/>
      <c r="C70" s="102"/>
      <c r="D70" s="102"/>
      <c r="E70" s="102"/>
      <c r="F70" s="102"/>
      <c r="G70" s="102"/>
    </row>
    <row r="71" spans="1:20" ht="45" x14ac:dyDescent="0.25">
      <c r="B71" s="29" t="s">
        <v>40</v>
      </c>
      <c r="C71" s="23" t="s">
        <v>2</v>
      </c>
      <c r="D71" s="29" t="s">
        <v>316</v>
      </c>
      <c r="E71" s="119" t="s">
        <v>317</v>
      </c>
      <c r="G71" s="29" t="s">
        <v>281</v>
      </c>
      <c r="H71" s="23" t="s">
        <v>318</v>
      </c>
    </row>
    <row r="72" spans="1:20" hidden="1" x14ac:dyDescent="0.25">
      <c r="A72" s="24">
        <v>41214</v>
      </c>
      <c r="B72" s="25">
        <f>E72/D72</f>
        <v>6.6666666666666666E-2</v>
      </c>
      <c r="C72" s="26">
        <v>0.9</v>
      </c>
      <c r="D72" s="30">
        <v>15</v>
      </c>
      <c r="E72" s="31">
        <v>1</v>
      </c>
      <c r="G72" s="40">
        <v>0</v>
      </c>
      <c r="H72" s="23">
        <v>30</v>
      </c>
    </row>
    <row r="73" spans="1:20" hidden="1" x14ac:dyDescent="0.25">
      <c r="A73" s="24">
        <v>41244</v>
      </c>
      <c r="B73" s="25">
        <f>E73/D73</f>
        <v>0.45833333333333331</v>
      </c>
      <c r="C73" s="26">
        <v>0.9</v>
      </c>
      <c r="D73" s="31">
        <v>24</v>
      </c>
      <c r="E73" s="31">
        <v>11</v>
      </c>
      <c r="G73" s="40">
        <v>26.7</v>
      </c>
      <c r="H73" s="23">
        <v>30</v>
      </c>
    </row>
    <row r="74" spans="1:20" hidden="1" x14ac:dyDescent="0.25">
      <c r="A74" s="24">
        <v>41275</v>
      </c>
      <c r="B74" s="25">
        <f t="shared" ref="B74:B90" si="1">E74/D74</f>
        <v>0.69565217391304346</v>
      </c>
      <c r="C74" s="26">
        <v>0.9</v>
      </c>
      <c r="D74" s="31">
        <v>23</v>
      </c>
      <c r="E74" s="31">
        <v>16</v>
      </c>
      <c r="G74" s="40">
        <v>29.3</v>
      </c>
      <c r="H74" s="23">
        <v>30</v>
      </c>
      <c r="J74" s="23" t="s">
        <v>263</v>
      </c>
    </row>
    <row r="75" spans="1:20" hidden="1" x14ac:dyDescent="0.25">
      <c r="A75" s="24">
        <v>41306</v>
      </c>
      <c r="B75" s="25">
        <f t="shared" si="1"/>
        <v>0.90625</v>
      </c>
      <c r="C75" s="26">
        <v>0.9</v>
      </c>
      <c r="D75" s="31">
        <v>32</v>
      </c>
      <c r="E75" s="31">
        <v>29</v>
      </c>
      <c r="G75" s="40">
        <v>6.7</v>
      </c>
      <c r="H75" s="23">
        <v>30</v>
      </c>
    </row>
    <row r="76" spans="1:20" hidden="1" x14ac:dyDescent="0.25">
      <c r="A76" s="24">
        <v>41334</v>
      </c>
      <c r="B76" s="25">
        <f t="shared" si="1"/>
        <v>0.93333333333333335</v>
      </c>
      <c r="C76" s="26">
        <v>0.9</v>
      </c>
      <c r="D76" s="31">
        <v>15</v>
      </c>
      <c r="E76" s="31">
        <v>14</v>
      </c>
      <c r="G76" s="40">
        <v>13</v>
      </c>
      <c r="H76" s="23">
        <v>30</v>
      </c>
    </row>
    <row r="77" spans="1:20" hidden="1" x14ac:dyDescent="0.25">
      <c r="A77" s="24">
        <v>41365</v>
      </c>
      <c r="B77" s="25">
        <f t="shared" si="1"/>
        <v>1</v>
      </c>
      <c r="C77" s="26">
        <v>0.9</v>
      </c>
      <c r="D77" s="31">
        <v>4</v>
      </c>
      <c r="E77" s="31">
        <v>4</v>
      </c>
      <c r="G77" s="40">
        <v>6.75</v>
      </c>
      <c r="H77" s="23">
        <v>30</v>
      </c>
    </row>
    <row r="78" spans="1:20" hidden="1" x14ac:dyDescent="0.25">
      <c r="A78" s="24">
        <v>41395</v>
      </c>
      <c r="B78" s="25">
        <f t="shared" si="1"/>
        <v>0.95652173913043481</v>
      </c>
      <c r="C78" s="145">
        <v>0.9</v>
      </c>
      <c r="D78" s="31">
        <v>23</v>
      </c>
      <c r="E78" s="31">
        <v>22</v>
      </c>
      <c r="G78" s="40">
        <v>7.31</v>
      </c>
      <c r="H78" s="143">
        <v>30</v>
      </c>
    </row>
    <row r="79" spans="1:20" hidden="1" x14ac:dyDescent="0.25">
      <c r="A79" s="24">
        <v>41426</v>
      </c>
      <c r="B79" s="25">
        <f t="shared" si="1"/>
        <v>1</v>
      </c>
      <c r="C79" s="145">
        <v>0.9</v>
      </c>
      <c r="D79" s="31">
        <v>30</v>
      </c>
      <c r="E79" s="31">
        <v>30</v>
      </c>
      <c r="G79" s="40">
        <v>5.6</v>
      </c>
      <c r="H79" s="143">
        <v>30</v>
      </c>
    </row>
    <row r="80" spans="1:20" hidden="1" x14ac:dyDescent="0.25">
      <c r="A80" s="24">
        <v>41456</v>
      </c>
      <c r="B80" s="144"/>
      <c r="C80" s="145">
        <v>0.9</v>
      </c>
      <c r="D80" s="31"/>
      <c r="E80" s="31"/>
      <c r="G80" s="40"/>
      <c r="H80" s="143">
        <v>30</v>
      </c>
    </row>
    <row r="81" spans="1:8" hidden="1" x14ac:dyDescent="0.25">
      <c r="A81" s="24">
        <v>41487</v>
      </c>
      <c r="B81" s="144">
        <f t="shared" si="1"/>
        <v>1</v>
      </c>
      <c r="C81" s="145">
        <v>0.9</v>
      </c>
      <c r="D81" s="31">
        <v>10</v>
      </c>
      <c r="E81" s="31">
        <v>10</v>
      </c>
      <c r="G81" s="40">
        <v>10.4</v>
      </c>
      <c r="H81" s="143">
        <v>30</v>
      </c>
    </row>
    <row r="82" spans="1:8" hidden="1" x14ac:dyDescent="0.25">
      <c r="A82" s="24">
        <v>41518</v>
      </c>
      <c r="B82" s="25">
        <f t="shared" si="1"/>
        <v>0.65</v>
      </c>
      <c r="C82" s="145">
        <v>0.9</v>
      </c>
      <c r="D82" s="31">
        <v>20</v>
      </c>
      <c r="E82" s="31">
        <v>13</v>
      </c>
      <c r="G82" s="40">
        <v>28.4</v>
      </c>
      <c r="H82" s="143">
        <v>30</v>
      </c>
    </row>
    <row r="83" spans="1:8" hidden="1" x14ac:dyDescent="0.25">
      <c r="A83" s="24">
        <v>41548</v>
      </c>
      <c r="B83" s="144">
        <f t="shared" si="1"/>
        <v>0</v>
      </c>
      <c r="C83" s="145">
        <v>0.9</v>
      </c>
      <c r="D83" s="31">
        <v>3</v>
      </c>
      <c r="E83" s="31">
        <v>0</v>
      </c>
      <c r="G83" s="40">
        <v>59.5</v>
      </c>
      <c r="H83" s="143">
        <v>30</v>
      </c>
    </row>
    <row r="84" spans="1:8" s="143" customFormat="1" hidden="1" x14ac:dyDescent="0.25">
      <c r="A84" s="24">
        <v>41579</v>
      </c>
      <c r="B84" s="144">
        <f t="shared" si="1"/>
        <v>0.4</v>
      </c>
      <c r="C84" s="145">
        <v>0.9</v>
      </c>
      <c r="D84" s="31">
        <v>10</v>
      </c>
      <c r="E84" s="31">
        <v>4</v>
      </c>
      <c r="G84" s="40">
        <v>101.6</v>
      </c>
      <c r="H84" s="143">
        <v>30</v>
      </c>
    </row>
    <row r="85" spans="1:8" s="143" customFormat="1" hidden="1" x14ac:dyDescent="0.25">
      <c r="A85" s="24">
        <v>41609</v>
      </c>
      <c r="B85" s="144"/>
      <c r="C85" s="145">
        <v>0.9</v>
      </c>
      <c r="D85" s="31"/>
      <c r="E85" s="31"/>
      <c r="G85" s="40"/>
      <c r="H85" s="143">
        <v>30</v>
      </c>
    </row>
    <row r="86" spans="1:8" s="143" customFormat="1" hidden="1" x14ac:dyDescent="0.25">
      <c r="A86" s="174">
        <v>41640</v>
      </c>
      <c r="B86" s="144">
        <f t="shared" si="1"/>
        <v>0.875</v>
      </c>
      <c r="C86" s="145">
        <v>0.9</v>
      </c>
      <c r="D86" s="31">
        <v>8</v>
      </c>
      <c r="E86" s="31">
        <v>7</v>
      </c>
      <c r="G86" s="40">
        <v>11.25</v>
      </c>
      <c r="H86" s="143">
        <v>30</v>
      </c>
    </row>
    <row r="87" spans="1:8" s="143" customFormat="1" hidden="1" x14ac:dyDescent="0.25">
      <c r="A87" s="174">
        <v>41671</v>
      </c>
      <c r="B87" s="144">
        <f t="shared" si="1"/>
        <v>1</v>
      </c>
      <c r="C87" s="145">
        <v>0.9</v>
      </c>
      <c r="D87" s="31">
        <v>12</v>
      </c>
      <c r="E87" s="31">
        <v>12</v>
      </c>
      <c r="G87" s="40">
        <v>5.66</v>
      </c>
      <c r="H87" s="143">
        <v>30</v>
      </c>
    </row>
    <row r="88" spans="1:8" s="143" customFormat="1" hidden="1" x14ac:dyDescent="0.25">
      <c r="A88" s="174">
        <v>41699</v>
      </c>
      <c r="B88" s="144">
        <f t="shared" si="1"/>
        <v>1</v>
      </c>
      <c r="C88" s="145">
        <v>0.9</v>
      </c>
      <c r="D88" s="31">
        <v>15</v>
      </c>
      <c r="E88" s="31">
        <v>15</v>
      </c>
      <c r="G88" s="40">
        <v>6.8</v>
      </c>
      <c r="H88" s="143">
        <v>30</v>
      </c>
    </row>
    <row r="89" spans="1:8" s="143" customFormat="1" hidden="1" x14ac:dyDescent="0.25">
      <c r="A89" s="174">
        <v>41730</v>
      </c>
      <c r="B89" s="144">
        <f t="shared" si="1"/>
        <v>0.875</v>
      </c>
      <c r="C89" s="145">
        <v>0.9</v>
      </c>
      <c r="D89" s="31">
        <v>8</v>
      </c>
      <c r="E89" s="31">
        <v>7</v>
      </c>
      <c r="G89" s="40">
        <v>20.63</v>
      </c>
      <c r="H89" s="143">
        <v>30</v>
      </c>
    </row>
    <row r="90" spans="1:8" s="143" customFormat="1" hidden="1" x14ac:dyDescent="0.25">
      <c r="A90" s="174">
        <v>41760</v>
      </c>
      <c r="B90" s="144">
        <f t="shared" si="1"/>
        <v>1</v>
      </c>
      <c r="C90" s="145">
        <v>0.9</v>
      </c>
      <c r="D90" s="31">
        <v>9</v>
      </c>
      <c r="E90" s="31">
        <v>9</v>
      </c>
      <c r="G90" s="40">
        <v>11.78</v>
      </c>
      <c r="H90" s="143">
        <v>30</v>
      </c>
    </row>
    <row r="91" spans="1:8" s="143" customFormat="1" hidden="1" x14ac:dyDescent="0.25">
      <c r="A91" s="174">
        <v>41791</v>
      </c>
      <c r="B91" s="144">
        <f t="shared" ref="B91:B117" si="2">E91/D91</f>
        <v>1</v>
      </c>
      <c r="C91" s="145">
        <v>0.9</v>
      </c>
      <c r="D91" s="31">
        <v>2</v>
      </c>
      <c r="E91" s="31">
        <v>2</v>
      </c>
      <c r="G91" s="40">
        <v>2</v>
      </c>
      <c r="H91" s="143">
        <v>30</v>
      </c>
    </row>
    <row r="92" spans="1:8" s="143" customFormat="1" hidden="1" x14ac:dyDescent="0.25">
      <c r="A92" s="174">
        <v>41821</v>
      </c>
      <c r="B92" s="144">
        <f t="shared" si="2"/>
        <v>1</v>
      </c>
      <c r="C92" s="145">
        <v>0.9</v>
      </c>
      <c r="D92" s="31">
        <v>3</v>
      </c>
      <c r="E92" s="31">
        <v>3</v>
      </c>
      <c r="G92" s="40">
        <v>16.329999999999998</v>
      </c>
      <c r="H92" s="143">
        <v>30</v>
      </c>
    </row>
    <row r="93" spans="1:8" s="143" customFormat="1" hidden="1" x14ac:dyDescent="0.25">
      <c r="A93" s="174">
        <v>41852</v>
      </c>
      <c r="B93" s="144">
        <f t="shared" si="2"/>
        <v>1</v>
      </c>
      <c r="C93" s="145">
        <v>0.9</v>
      </c>
      <c r="D93" s="31">
        <v>9</v>
      </c>
      <c r="E93" s="31">
        <v>9</v>
      </c>
      <c r="G93" s="40">
        <v>6.8890000000000002</v>
      </c>
      <c r="H93" s="143">
        <v>30</v>
      </c>
    </row>
    <row r="94" spans="1:8" s="143" customFormat="1" hidden="1" x14ac:dyDescent="0.25">
      <c r="A94" s="174">
        <v>41883</v>
      </c>
      <c r="B94" s="144" t="e">
        <f t="shared" si="2"/>
        <v>#DIV/0!</v>
      </c>
      <c r="C94" s="145">
        <v>0.9</v>
      </c>
      <c r="D94" s="31">
        <v>0</v>
      </c>
      <c r="E94" s="31">
        <v>0</v>
      </c>
      <c r="G94" s="40">
        <v>0</v>
      </c>
      <c r="H94" s="143">
        <v>30</v>
      </c>
    </row>
    <row r="95" spans="1:8" s="143" customFormat="1" hidden="1" x14ac:dyDescent="0.25">
      <c r="A95" s="174">
        <v>41913</v>
      </c>
      <c r="B95" s="144">
        <f t="shared" si="2"/>
        <v>0.8571428571428571</v>
      </c>
      <c r="C95" s="145">
        <v>0.9</v>
      </c>
      <c r="D95" s="31">
        <v>21</v>
      </c>
      <c r="E95" s="31">
        <v>18</v>
      </c>
      <c r="G95" s="40">
        <v>15.38</v>
      </c>
      <c r="H95" s="143">
        <v>30</v>
      </c>
    </row>
    <row r="96" spans="1:8" s="143" customFormat="1" hidden="1" x14ac:dyDescent="0.25">
      <c r="A96" s="174">
        <v>41944</v>
      </c>
      <c r="B96" s="144">
        <f t="shared" si="2"/>
        <v>0.7142857142857143</v>
      </c>
      <c r="C96" s="145">
        <v>0.9</v>
      </c>
      <c r="D96" s="31">
        <v>7</v>
      </c>
      <c r="E96" s="31">
        <v>5</v>
      </c>
      <c r="G96" s="40">
        <v>20.29</v>
      </c>
      <c r="H96" s="143">
        <v>30</v>
      </c>
    </row>
    <row r="97" spans="1:8" s="143" customFormat="1" hidden="1" x14ac:dyDescent="0.25">
      <c r="A97" s="174">
        <v>41974</v>
      </c>
      <c r="B97" s="144" t="e">
        <f t="shared" si="2"/>
        <v>#DIV/0!</v>
      </c>
      <c r="C97" s="145">
        <v>0.9</v>
      </c>
      <c r="D97" s="31">
        <v>0</v>
      </c>
      <c r="E97" s="31">
        <v>0</v>
      </c>
      <c r="G97" s="40">
        <v>0</v>
      </c>
      <c r="H97" s="143">
        <v>30</v>
      </c>
    </row>
    <row r="98" spans="1:8" s="143" customFormat="1" hidden="1" x14ac:dyDescent="0.25">
      <c r="A98" s="174">
        <v>42005</v>
      </c>
      <c r="B98" s="144">
        <f t="shared" si="2"/>
        <v>0.25</v>
      </c>
      <c r="C98" s="145">
        <v>0.9</v>
      </c>
      <c r="D98" s="31">
        <v>4</v>
      </c>
      <c r="E98" s="31">
        <v>1</v>
      </c>
      <c r="G98" s="40">
        <v>48</v>
      </c>
      <c r="H98" s="143">
        <v>30</v>
      </c>
    </row>
    <row r="99" spans="1:8" s="143" customFormat="1" hidden="1" x14ac:dyDescent="0.25">
      <c r="A99" s="174">
        <v>42036</v>
      </c>
      <c r="B99" s="144">
        <f t="shared" si="2"/>
        <v>0.8</v>
      </c>
      <c r="C99" s="145">
        <v>0.9</v>
      </c>
      <c r="D99" s="31">
        <v>5</v>
      </c>
      <c r="E99" s="31">
        <v>4</v>
      </c>
      <c r="G99" s="40">
        <v>30</v>
      </c>
      <c r="H99" s="143">
        <v>30</v>
      </c>
    </row>
    <row r="100" spans="1:8" s="143" customFormat="1" x14ac:dyDescent="0.25">
      <c r="A100" s="174">
        <v>42064</v>
      </c>
      <c r="B100" s="144">
        <f t="shared" si="2"/>
        <v>0.75</v>
      </c>
      <c r="C100" s="145">
        <v>0.9</v>
      </c>
      <c r="D100" s="31">
        <v>4</v>
      </c>
      <c r="E100" s="31">
        <v>3</v>
      </c>
      <c r="G100" s="40">
        <v>18</v>
      </c>
      <c r="H100" s="143">
        <v>30</v>
      </c>
    </row>
    <row r="101" spans="1:8" s="143" customFormat="1" x14ac:dyDescent="0.25">
      <c r="A101" s="174">
        <v>42095</v>
      </c>
      <c r="B101" s="144">
        <f t="shared" si="2"/>
        <v>1</v>
      </c>
      <c r="C101" s="145">
        <v>0.9</v>
      </c>
      <c r="D101" s="31">
        <v>14</v>
      </c>
      <c r="E101" s="31">
        <v>14</v>
      </c>
      <c r="G101" s="40">
        <v>11</v>
      </c>
      <c r="H101" s="143">
        <v>30</v>
      </c>
    </row>
    <row r="102" spans="1:8" s="143" customFormat="1" x14ac:dyDescent="0.25">
      <c r="A102" s="174">
        <v>42125</v>
      </c>
      <c r="B102" s="144">
        <f t="shared" si="2"/>
        <v>1</v>
      </c>
      <c r="C102" s="145">
        <v>0.9</v>
      </c>
      <c r="D102" s="31">
        <v>7</v>
      </c>
      <c r="E102" s="31">
        <v>7</v>
      </c>
      <c r="G102" s="40">
        <v>11</v>
      </c>
      <c r="H102" s="143">
        <v>30</v>
      </c>
    </row>
    <row r="103" spans="1:8" s="143" customFormat="1" x14ac:dyDescent="0.25">
      <c r="A103" s="174">
        <v>42156</v>
      </c>
      <c r="B103" s="144">
        <f t="shared" si="2"/>
        <v>1</v>
      </c>
      <c r="C103" s="145">
        <v>0.9</v>
      </c>
      <c r="D103" s="31">
        <v>5</v>
      </c>
      <c r="E103" s="31">
        <v>5</v>
      </c>
      <c r="G103" s="40">
        <v>11.2</v>
      </c>
      <c r="H103" s="143">
        <v>30</v>
      </c>
    </row>
    <row r="104" spans="1:8" s="143" customFormat="1" x14ac:dyDescent="0.25">
      <c r="A104" s="174">
        <v>42200</v>
      </c>
      <c r="B104" s="144" t="e">
        <f t="shared" si="2"/>
        <v>#DIV/0!</v>
      </c>
      <c r="C104" s="145">
        <v>0.9</v>
      </c>
      <c r="D104" s="31">
        <v>0</v>
      </c>
      <c r="E104" s="31">
        <v>0</v>
      </c>
      <c r="G104" s="40">
        <v>0</v>
      </c>
      <c r="H104" s="143">
        <v>30</v>
      </c>
    </row>
    <row r="105" spans="1:8" s="143" customFormat="1" x14ac:dyDescent="0.25">
      <c r="A105" s="174">
        <v>42217</v>
      </c>
      <c r="B105" s="144">
        <f t="shared" si="2"/>
        <v>1</v>
      </c>
      <c r="C105" s="145">
        <v>0.9</v>
      </c>
      <c r="D105" s="31">
        <v>8</v>
      </c>
      <c r="E105" s="31">
        <v>8</v>
      </c>
      <c r="G105" s="40">
        <v>11</v>
      </c>
      <c r="H105" s="143">
        <v>30</v>
      </c>
    </row>
    <row r="106" spans="1:8" s="143" customFormat="1" x14ac:dyDescent="0.25">
      <c r="A106" s="174">
        <v>42262</v>
      </c>
      <c r="B106" s="144" t="e">
        <f t="shared" si="2"/>
        <v>#DIV/0!</v>
      </c>
      <c r="C106" s="145">
        <v>0.9</v>
      </c>
      <c r="D106" s="31">
        <v>0</v>
      </c>
      <c r="E106" s="31">
        <v>0</v>
      </c>
      <c r="G106" s="40">
        <v>0</v>
      </c>
      <c r="H106" s="143">
        <v>30</v>
      </c>
    </row>
    <row r="107" spans="1:8" s="143" customFormat="1" x14ac:dyDescent="0.25">
      <c r="A107" s="174">
        <v>42292</v>
      </c>
      <c r="B107" s="144">
        <f t="shared" si="2"/>
        <v>1</v>
      </c>
      <c r="C107" s="145">
        <v>0.9</v>
      </c>
      <c r="D107" s="31">
        <v>11</v>
      </c>
      <c r="E107" s="31">
        <v>11</v>
      </c>
      <c r="G107" s="40">
        <v>12.55</v>
      </c>
      <c r="H107" s="143">
        <v>30</v>
      </c>
    </row>
    <row r="108" spans="1:8" s="143" customFormat="1" x14ac:dyDescent="0.25">
      <c r="A108" s="174">
        <v>42309</v>
      </c>
      <c r="B108" s="144">
        <f t="shared" si="2"/>
        <v>0.7142857142857143</v>
      </c>
      <c r="C108" s="145">
        <v>0.9</v>
      </c>
      <c r="D108" s="31">
        <v>7</v>
      </c>
      <c r="E108" s="31">
        <v>5</v>
      </c>
      <c r="G108" s="40">
        <v>20.29</v>
      </c>
      <c r="H108" s="143">
        <v>30</v>
      </c>
    </row>
    <row r="109" spans="1:8" s="143" customFormat="1" x14ac:dyDescent="0.25">
      <c r="A109" s="174">
        <v>42339</v>
      </c>
      <c r="B109" s="144">
        <f t="shared" si="2"/>
        <v>1</v>
      </c>
      <c r="C109" s="145">
        <v>0.9</v>
      </c>
      <c r="D109" s="31">
        <v>7</v>
      </c>
      <c r="E109" s="31">
        <v>7</v>
      </c>
      <c r="G109" s="40">
        <v>14.7</v>
      </c>
      <c r="H109" s="143">
        <v>30</v>
      </c>
    </row>
    <row r="110" spans="1:8" s="143" customFormat="1" x14ac:dyDescent="0.25">
      <c r="A110" s="174">
        <v>42370</v>
      </c>
      <c r="B110" s="144">
        <f t="shared" si="2"/>
        <v>0.9285714285714286</v>
      </c>
      <c r="C110" s="145">
        <v>0.9</v>
      </c>
      <c r="D110" s="31">
        <v>14</v>
      </c>
      <c r="E110" s="31">
        <v>13</v>
      </c>
      <c r="G110" s="40">
        <v>11.7</v>
      </c>
      <c r="H110" s="143">
        <v>30</v>
      </c>
    </row>
    <row r="111" spans="1:8" s="143" customFormat="1" x14ac:dyDescent="0.25">
      <c r="A111" s="174">
        <v>42401</v>
      </c>
      <c r="B111" s="144">
        <f t="shared" si="2"/>
        <v>0.90909090909090906</v>
      </c>
      <c r="C111" s="145">
        <v>0.9</v>
      </c>
      <c r="D111" s="31">
        <v>11</v>
      </c>
      <c r="E111" s="31">
        <v>10</v>
      </c>
      <c r="G111" s="40">
        <v>14.65</v>
      </c>
      <c r="H111" s="143">
        <v>30</v>
      </c>
    </row>
    <row r="112" spans="1:8" s="143" customFormat="1" x14ac:dyDescent="0.25">
      <c r="A112" s="174">
        <v>42430</v>
      </c>
      <c r="B112" s="144">
        <f t="shared" si="2"/>
        <v>1</v>
      </c>
      <c r="C112" s="145">
        <v>0.9</v>
      </c>
      <c r="D112" s="31">
        <v>3</v>
      </c>
      <c r="E112" s="31">
        <v>3</v>
      </c>
      <c r="G112" s="40">
        <v>2</v>
      </c>
      <c r="H112" s="143">
        <v>30</v>
      </c>
    </row>
    <row r="113" spans="1:8" s="143" customFormat="1" x14ac:dyDescent="0.25">
      <c r="A113" s="174">
        <v>42461</v>
      </c>
      <c r="B113" s="144">
        <f t="shared" si="2"/>
        <v>0.5</v>
      </c>
      <c r="C113" s="145">
        <v>0.9</v>
      </c>
      <c r="D113" s="31">
        <v>2</v>
      </c>
      <c r="E113" s="31">
        <v>1</v>
      </c>
      <c r="G113" s="40">
        <v>25.5</v>
      </c>
      <c r="H113" s="143">
        <v>30</v>
      </c>
    </row>
    <row r="114" spans="1:8" s="143" customFormat="1" x14ac:dyDescent="0.25">
      <c r="A114" s="174">
        <v>42491</v>
      </c>
      <c r="B114" s="144">
        <f t="shared" si="2"/>
        <v>1</v>
      </c>
      <c r="C114" s="145">
        <v>0.9</v>
      </c>
      <c r="D114" s="31">
        <v>6</v>
      </c>
      <c r="E114" s="31">
        <v>6</v>
      </c>
      <c r="G114" s="40">
        <v>5.8</v>
      </c>
      <c r="H114" s="143">
        <v>30</v>
      </c>
    </row>
    <row r="115" spans="1:8" s="143" customFormat="1" x14ac:dyDescent="0.25">
      <c r="A115" s="174">
        <v>42522</v>
      </c>
      <c r="B115" s="144">
        <f t="shared" si="2"/>
        <v>1</v>
      </c>
      <c r="C115" s="145">
        <v>0.9</v>
      </c>
      <c r="D115" s="31">
        <v>19</v>
      </c>
      <c r="E115" s="31">
        <v>19</v>
      </c>
      <c r="G115" s="40">
        <v>3.26</v>
      </c>
      <c r="H115" s="143">
        <v>30</v>
      </c>
    </row>
    <row r="116" spans="1:8" s="143" customFormat="1" x14ac:dyDescent="0.25">
      <c r="A116" s="174">
        <v>42552</v>
      </c>
      <c r="B116" s="144">
        <f t="shared" si="2"/>
        <v>1</v>
      </c>
      <c r="C116" s="145">
        <v>0.9</v>
      </c>
      <c r="D116" s="31">
        <v>5</v>
      </c>
      <c r="E116" s="31">
        <v>5</v>
      </c>
      <c r="G116" s="40">
        <v>8.4</v>
      </c>
      <c r="H116" s="143">
        <v>30</v>
      </c>
    </row>
    <row r="117" spans="1:8" s="143" customFormat="1" x14ac:dyDescent="0.25">
      <c r="A117" s="174">
        <v>42583</v>
      </c>
      <c r="B117" s="144">
        <f t="shared" si="2"/>
        <v>1</v>
      </c>
      <c r="C117" s="145">
        <v>0.9</v>
      </c>
      <c r="D117" s="31">
        <v>16</v>
      </c>
      <c r="E117" s="31">
        <v>16</v>
      </c>
      <c r="G117" s="40">
        <v>1</v>
      </c>
      <c r="H117" s="143">
        <v>30</v>
      </c>
    </row>
    <row r="118" spans="1:8" s="143" customFormat="1" x14ac:dyDescent="0.25">
      <c r="A118" s="24"/>
    </row>
    <row r="132" spans="1:8" s="143" customFormat="1" x14ac:dyDescent="0.25"/>
    <row r="133" spans="1:8" s="143" customFormat="1" x14ac:dyDescent="0.25"/>
    <row r="135" spans="1:8" ht="18.75" x14ac:dyDescent="0.3">
      <c r="A135" s="123" t="s">
        <v>313</v>
      </c>
      <c r="B135" s="29"/>
      <c r="D135" s="29"/>
      <c r="E135" s="29"/>
    </row>
    <row r="136" spans="1:8" ht="15.75" x14ac:dyDescent="0.25">
      <c r="A136" s="102" t="s">
        <v>314</v>
      </c>
      <c r="B136" s="102"/>
      <c r="C136" s="102"/>
      <c r="D136" s="102"/>
      <c r="E136" s="102"/>
      <c r="F136" s="102"/>
      <c r="G136" s="102"/>
    </row>
    <row r="137" spans="1:8" ht="45" x14ac:dyDescent="0.25">
      <c r="A137" s="23" t="s">
        <v>57</v>
      </c>
      <c r="B137" s="29" t="s">
        <v>431</v>
      </c>
      <c r="C137" s="23" t="s">
        <v>2</v>
      </c>
      <c r="D137" s="29" t="s">
        <v>282</v>
      </c>
      <c r="E137" s="119" t="s">
        <v>432</v>
      </c>
      <c r="G137" s="29" t="s">
        <v>281</v>
      </c>
      <c r="H137" s="23" t="s">
        <v>318</v>
      </c>
    </row>
    <row r="138" spans="1:8" hidden="1" x14ac:dyDescent="0.25">
      <c r="A138" s="24">
        <v>41214</v>
      </c>
      <c r="B138" s="25">
        <f t="shared" ref="B138:B183" si="3">E138/D138</f>
        <v>0.13333333333333333</v>
      </c>
      <c r="C138" s="26">
        <v>0.9</v>
      </c>
      <c r="D138" s="30">
        <v>15</v>
      </c>
      <c r="E138" s="31">
        <v>2</v>
      </c>
      <c r="G138" s="40">
        <v>581.5</v>
      </c>
      <c r="H138" s="23">
        <v>120</v>
      </c>
    </row>
    <row r="139" spans="1:8" hidden="1" x14ac:dyDescent="0.25">
      <c r="A139" s="24">
        <v>41244</v>
      </c>
      <c r="B139" s="25">
        <f t="shared" si="3"/>
        <v>0.16666666666666666</v>
      </c>
      <c r="C139" s="26">
        <v>0.9</v>
      </c>
      <c r="D139" s="31">
        <v>24</v>
      </c>
      <c r="E139" s="31">
        <v>4</v>
      </c>
      <c r="G139" s="40">
        <v>421.5</v>
      </c>
      <c r="H139" s="23">
        <v>120</v>
      </c>
    </row>
    <row r="140" spans="1:8" hidden="1" x14ac:dyDescent="0.25">
      <c r="A140" s="24">
        <v>41275</v>
      </c>
      <c r="B140" s="25">
        <f t="shared" si="3"/>
        <v>4.3478260869565216E-2</v>
      </c>
      <c r="C140" s="26">
        <v>0.9</v>
      </c>
      <c r="D140" s="31">
        <v>23</v>
      </c>
      <c r="E140" s="31">
        <v>1</v>
      </c>
      <c r="G140" s="40">
        <v>568.5</v>
      </c>
      <c r="H140" s="23">
        <v>120</v>
      </c>
    </row>
    <row r="141" spans="1:8" hidden="1" x14ac:dyDescent="0.25">
      <c r="A141" s="24">
        <v>41306</v>
      </c>
      <c r="B141" s="25">
        <f t="shared" si="3"/>
        <v>0</v>
      </c>
      <c r="C141" s="26">
        <v>0.9</v>
      </c>
      <c r="D141" s="31">
        <v>32</v>
      </c>
      <c r="E141" s="31">
        <v>0</v>
      </c>
      <c r="G141" s="40">
        <v>523.1</v>
      </c>
      <c r="H141" s="23">
        <v>120</v>
      </c>
    </row>
    <row r="142" spans="1:8" hidden="1" x14ac:dyDescent="0.25">
      <c r="A142" s="24">
        <v>41334</v>
      </c>
      <c r="B142" s="25">
        <f t="shared" si="3"/>
        <v>0</v>
      </c>
      <c r="C142" s="26">
        <v>0.9</v>
      </c>
      <c r="D142" s="31">
        <v>15</v>
      </c>
      <c r="E142" s="31">
        <v>0</v>
      </c>
      <c r="G142" s="40">
        <v>323</v>
      </c>
      <c r="H142" s="23">
        <v>120</v>
      </c>
    </row>
    <row r="143" spans="1:8" hidden="1" x14ac:dyDescent="0.25">
      <c r="A143" s="24">
        <v>41365</v>
      </c>
      <c r="B143" s="25">
        <f t="shared" si="3"/>
        <v>0</v>
      </c>
      <c r="C143" s="26">
        <v>0.9</v>
      </c>
      <c r="D143" s="31">
        <v>4</v>
      </c>
      <c r="E143" s="31">
        <v>0</v>
      </c>
      <c r="G143" s="40">
        <v>235.7</v>
      </c>
      <c r="H143" s="23">
        <v>120</v>
      </c>
    </row>
    <row r="144" spans="1:8" hidden="1" x14ac:dyDescent="0.25">
      <c r="A144" s="24">
        <v>41395</v>
      </c>
      <c r="B144" s="25">
        <f t="shared" si="3"/>
        <v>0.13043478260869565</v>
      </c>
      <c r="C144" s="145">
        <v>0.9</v>
      </c>
      <c r="D144" s="31">
        <v>23</v>
      </c>
      <c r="E144" s="31">
        <v>3</v>
      </c>
      <c r="G144" s="40">
        <v>293</v>
      </c>
      <c r="H144" s="143">
        <v>120</v>
      </c>
    </row>
    <row r="145" spans="1:8" hidden="1" x14ac:dyDescent="0.25">
      <c r="A145" s="24">
        <v>41426</v>
      </c>
      <c r="B145" s="144">
        <f t="shared" si="3"/>
        <v>6.6666666666666666E-2</v>
      </c>
      <c r="C145" s="145">
        <v>0.9</v>
      </c>
      <c r="D145" s="31">
        <v>30</v>
      </c>
      <c r="E145" s="31">
        <v>2</v>
      </c>
      <c r="G145" s="40">
        <v>315.2</v>
      </c>
      <c r="H145" s="143">
        <v>120</v>
      </c>
    </row>
    <row r="146" spans="1:8" hidden="1" x14ac:dyDescent="0.25">
      <c r="A146" s="24">
        <v>41456</v>
      </c>
      <c r="B146" s="144"/>
      <c r="C146" s="26">
        <v>0.9</v>
      </c>
      <c r="D146" s="31">
        <v>0</v>
      </c>
      <c r="E146" s="31">
        <v>0</v>
      </c>
      <c r="G146" s="40"/>
      <c r="H146" s="143">
        <v>120</v>
      </c>
    </row>
    <row r="147" spans="1:8" hidden="1" x14ac:dyDescent="0.25">
      <c r="A147" s="24">
        <v>41487</v>
      </c>
      <c r="B147" s="144">
        <f t="shared" si="3"/>
        <v>0.2</v>
      </c>
      <c r="C147" s="145">
        <v>0.9</v>
      </c>
      <c r="D147" s="31">
        <v>10</v>
      </c>
      <c r="E147" s="31">
        <v>2</v>
      </c>
      <c r="G147" s="40">
        <v>214.8</v>
      </c>
      <c r="H147" s="143">
        <v>120</v>
      </c>
    </row>
    <row r="148" spans="1:8" hidden="1" x14ac:dyDescent="0.25">
      <c r="A148" s="24">
        <v>41518</v>
      </c>
      <c r="B148" s="25">
        <f t="shared" si="3"/>
        <v>0.2</v>
      </c>
      <c r="C148" s="26">
        <v>0.9</v>
      </c>
      <c r="D148" s="31">
        <v>20</v>
      </c>
      <c r="E148" s="31">
        <v>4</v>
      </c>
      <c r="G148" s="40">
        <v>231.9</v>
      </c>
      <c r="H148" s="143">
        <v>120</v>
      </c>
    </row>
    <row r="149" spans="1:8" hidden="1" x14ac:dyDescent="0.25">
      <c r="A149" s="24">
        <v>41548</v>
      </c>
      <c r="B149" s="144">
        <f t="shared" si="3"/>
        <v>0</v>
      </c>
      <c r="C149" s="145">
        <v>0.9</v>
      </c>
      <c r="D149" s="31">
        <v>3</v>
      </c>
      <c r="E149" s="31">
        <v>0</v>
      </c>
      <c r="G149" s="40">
        <v>511.5</v>
      </c>
      <c r="H149" s="143">
        <v>120</v>
      </c>
    </row>
    <row r="150" spans="1:8" hidden="1" x14ac:dyDescent="0.25">
      <c r="A150" s="24">
        <v>41579</v>
      </c>
      <c r="B150" s="144">
        <f t="shared" si="3"/>
        <v>0</v>
      </c>
      <c r="C150" s="145">
        <v>0.9</v>
      </c>
      <c r="D150" s="31">
        <v>10</v>
      </c>
      <c r="E150" s="31">
        <v>0</v>
      </c>
      <c r="G150" s="40">
        <v>440.1</v>
      </c>
      <c r="H150" s="143">
        <v>120</v>
      </c>
    </row>
    <row r="151" spans="1:8" hidden="1" x14ac:dyDescent="0.25">
      <c r="A151" s="24">
        <v>41609</v>
      </c>
      <c r="B151" s="144"/>
      <c r="C151" s="145">
        <v>0.9</v>
      </c>
      <c r="D151" s="31">
        <v>0</v>
      </c>
      <c r="E151" s="31">
        <v>0</v>
      </c>
      <c r="H151" s="143">
        <v>120</v>
      </c>
    </row>
    <row r="152" spans="1:8" s="143" customFormat="1" hidden="1" x14ac:dyDescent="0.25">
      <c r="A152" s="24">
        <v>41640</v>
      </c>
      <c r="B152" s="144">
        <f t="shared" si="3"/>
        <v>0.25</v>
      </c>
      <c r="C152" s="145">
        <v>0.9</v>
      </c>
      <c r="D152" s="31">
        <v>8</v>
      </c>
      <c r="E152" s="31">
        <v>2</v>
      </c>
      <c r="G152" s="40">
        <v>309.10000000000002</v>
      </c>
      <c r="H152" s="143">
        <v>180</v>
      </c>
    </row>
    <row r="153" spans="1:8" s="143" customFormat="1" hidden="1" x14ac:dyDescent="0.25">
      <c r="A153" s="24">
        <v>41671</v>
      </c>
      <c r="B153" s="144">
        <f t="shared" si="3"/>
        <v>8.3333333333333329E-2</v>
      </c>
      <c r="C153" s="145">
        <v>0.9</v>
      </c>
      <c r="D153" s="31">
        <v>12</v>
      </c>
      <c r="E153" s="31">
        <v>1</v>
      </c>
      <c r="G153" s="40">
        <v>395.6</v>
      </c>
      <c r="H153" s="143">
        <v>180</v>
      </c>
    </row>
    <row r="154" spans="1:8" s="143" customFormat="1" hidden="1" x14ac:dyDescent="0.25">
      <c r="A154" s="24">
        <v>41699</v>
      </c>
      <c r="B154" s="144">
        <f t="shared" si="3"/>
        <v>0</v>
      </c>
      <c r="C154" s="145">
        <v>0.9</v>
      </c>
      <c r="D154" s="31">
        <v>15</v>
      </c>
      <c r="E154" s="31">
        <v>0</v>
      </c>
      <c r="G154" s="40">
        <v>317.10000000000002</v>
      </c>
      <c r="H154" s="143">
        <v>180</v>
      </c>
    </row>
    <row r="155" spans="1:8" s="143" customFormat="1" hidden="1" x14ac:dyDescent="0.25">
      <c r="A155" s="24">
        <v>41730</v>
      </c>
      <c r="B155" s="144">
        <f t="shared" si="3"/>
        <v>0</v>
      </c>
      <c r="C155" s="145">
        <v>0.9</v>
      </c>
      <c r="D155" s="31">
        <v>8</v>
      </c>
      <c r="E155" s="31">
        <v>0</v>
      </c>
      <c r="G155" s="40">
        <v>278.60000000000002</v>
      </c>
      <c r="H155" s="143">
        <v>180</v>
      </c>
    </row>
    <row r="156" spans="1:8" s="143" customFormat="1" hidden="1" x14ac:dyDescent="0.25">
      <c r="A156" s="24">
        <v>41760</v>
      </c>
      <c r="B156" s="144">
        <f t="shared" si="3"/>
        <v>0.22222222222222221</v>
      </c>
      <c r="C156" s="145">
        <v>0.9</v>
      </c>
      <c r="D156" s="31">
        <v>9</v>
      </c>
      <c r="E156" s="31">
        <v>2</v>
      </c>
      <c r="G156" s="40">
        <v>264.39999999999998</v>
      </c>
      <c r="H156" s="143">
        <v>180</v>
      </c>
    </row>
    <row r="157" spans="1:8" s="143" customFormat="1" hidden="1" x14ac:dyDescent="0.25">
      <c r="A157" s="24">
        <v>41791</v>
      </c>
      <c r="B157" s="144">
        <f t="shared" si="3"/>
        <v>0</v>
      </c>
      <c r="C157" s="145">
        <v>0.9</v>
      </c>
      <c r="D157" s="31">
        <v>2</v>
      </c>
      <c r="E157" s="31">
        <v>0</v>
      </c>
      <c r="G157" s="40">
        <v>245</v>
      </c>
      <c r="H157" s="143">
        <v>180</v>
      </c>
    </row>
    <row r="158" spans="1:8" s="143" customFormat="1" hidden="1" x14ac:dyDescent="0.25">
      <c r="A158" s="24">
        <v>41821</v>
      </c>
      <c r="B158" s="144">
        <f t="shared" si="3"/>
        <v>0</v>
      </c>
      <c r="C158" s="145">
        <v>0.9</v>
      </c>
      <c r="D158" s="31">
        <v>3</v>
      </c>
      <c r="E158" s="31">
        <v>0</v>
      </c>
      <c r="G158" s="40">
        <v>288.7</v>
      </c>
      <c r="H158" s="143">
        <v>180</v>
      </c>
    </row>
    <row r="159" spans="1:8" s="143" customFormat="1" hidden="1" x14ac:dyDescent="0.25">
      <c r="A159" s="24">
        <v>41852</v>
      </c>
      <c r="B159" s="144">
        <f t="shared" si="3"/>
        <v>0.33333333333333331</v>
      </c>
      <c r="C159" s="145">
        <v>0.9</v>
      </c>
      <c r="D159" s="31">
        <v>9</v>
      </c>
      <c r="E159" s="31">
        <v>3</v>
      </c>
      <c r="G159" s="40">
        <v>225</v>
      </c>
      <c r="H159" s="143">
        <v>180</v>
      </c>
    </row>
    <row r="160" spans="1:8" s="143" customFormat="1" hidden="1" x14ac:dyDescent="0.25">
      <c r="A160" s="24">
        <v>41883</v>
      </c>
      <c r="B160" s="144" t="e">
        <f t="shared" si="3"/>
        <v>#DIV/0!</v>
      </c>
      <c r="C160" s="145">
        <v>0.9</v>
      </c>
      <c r="D160" s="31">
        <v>0</v>
      </c>
      <c r="E160" s="31">
        <v>0</v>
      </c>
      <c r="G160" s="40">
        <v>0</v>
      </c>
      <c r="H160" s="143">
        <v>180</v>
      </c>
    </row>
    <row r="161" spans="1:15" s="143" customFormat="1" hidden="1" x14ac:dyDescent="0.25">
      <c r="A161" s="24">
        <v>41913</v>
      </c>
      <c r="B161" s="144">
        <f t="shared" si="3"/>
        <v>0.52380952380952384</v>
      </c>
      <c r="C161" s="145">
        <v>0.9</v>
      </c>
      <c r="D161" s="31">
        <v>21</v>
      </c>
      <c r="E161" s="31">
        <v>11</v>
      </c>
      <c r="G161" s="40">
        <v>196.5</v>
      </c>
      <c r="H161" s="143">
        <v>180</v>
      </c>
    </row>
    <row r="162" spans="1:15" s="143" customFormat="1" hidden="1" x14ac:dyDescent="0.25">
      <c r="A162" s="24">
        <v>41944</v>
      </c>
      <c r="B162" s="144">
        <f t="shared" si="3"/>
        <v>0.2857142857142857</v>
      </c>
      <c r="C162" s="145">
        <v>0.9</v>
      </c>
      <c r="D162" s="31">
        <v>7</v>
      </c>
      <c r="E162" s="31">
        <v>2</v>
      </c>
      <c r="G162" s="40">
        <v>220.6</v>
      </c>
      <c r="H162" s="143">
        <v>180</v>
      </c>
    </row>
    <row r="163" spans="1:15" hidden="1" x14ac:dyDescent="0.25">
      <c r="A163" s="24">
        <v>41974</v>
      </c>
      <c r="B163" s="144" t="e">
        <f t="shared" si="3"/>
        <v>#DIV/0!</v>
      </c>
      <c r="C163" s="145">
        <v>0.9</v>
      </c>
      <c r="D163" s="31">
        <v>0</v>
      </c>
      <c r="E163" s="31">
        <v>0</v>
      </c>
      <c r="G163" s="40">
        <v>0</v>
      </c>
      <c r="H163" s="143">
        <v>180</v>
      </c>
    </row>
    <row r="164" spans="1:15" s="143" customFormat="1" hidden="1" x14ac:dyDescent="0.25">
      <c r="A164" s="24">
        <v>42005</v>
      </c>
      <c r="B164" s="144">
        <f t="shared" si="3"/>
        <v>0</v>
      </c>
      <c r="C164" s="145">
        <v>0.9</v>
      </c>
      <c r="D164" s="31">
        <v>4</v>
      </c>
      <c r="E164" s="31">
        <v>0</v>
      </c>
      <c r="G164" s="40">
        <v>451</v>
      </c>
      <c r="H164" s="143">
        <v>180</v>
      </c>
    </row>
    <row r="165" spans="1:15" s="143" customFormat="1" hidden="1" x14ac:dyDescent="0.25">
      <c r="A165" s="24">
        <v>42036</v>
      </c>
      <c r="B165" s="144">
        <f t="shared" si="3"/>
        <v>0.2</v>
      </c>
      <c r="C165" s="145">
        <v>0.9</v>
      </c>
      <c r="D165" s="31">
        <v>5</v>
      </c>
      <c r="E165" s="31">
        <v>1</v>
      </c>
      <c r="G165" s="40">
        <v>606</v>
      </c>
      <c r="H165" s="143">
        <v>180</v>
      </c>
    </row>
    <row r="166" spans="1:15" s="143" customFormat="1" x14ac:dyDescent="0.25">
      <c r="A166" s="24">
        <v>42064</v>
      </c>
      <c r="B166" s="144">
        <f t="shared" si="3"/>
        <v>0.25</v>
      </c>
      <c r="C166" s="145">
        <v>0.9</v>
      </c>
      <c r="D166" s="31">
        <v>4</v>
      </c>
      <c r="E166" s="31">
        <v>1</v>
      </c>
      <c r="G166" s="40">
        <v>258</v>
      </c>
      <c r="H166" s="143">
        <v>180</v>
      </c>
      <c r="O166" s="143">
        <v>329</v>
      </c>
    </row>
    <row r="167" spans="1:15" s="143" customFormat="1" x14ac:dyDescent="0.25">
      <c r="A167" s="24">
        <v>42095</v>
      </c>
      <c r="B167" s="144">
        <f t="shared" si="3"/>
        <v>0.21428571428571427</v>
      </c>
      <c r="C167" s="145">
        <v>0.9</v>
      </c>
      <c r="D167" s="31">
        <v>14</v>
      </c>
      <c r="E167" s="31">
        <v>3</v>
      </c>
      <c r="G167" s="40">
        <v>329</v>
      </c>
      <c r="H167" s="143">
        <v>180</v>
      </c>
      <c r="O167" s="143">
        <v>2656</v>
      </c>
    </row>
    <row r="168" spans="1:15" s="143" customFormat="1" x14ac:dyDescent="0.25">
      <c r="A168" s="24">
        <v>42125</v>
      </c>
      <c r="B168" s="144">
        <f t="shared" si="3"/>
        <v>0.42857142857142855</v>
      </c>
      <c r="C168" s="145">
        <v>0.9</v>
      </c>
      <c r="D168" s="31">
        <v>7</v>
      </c>
      <c r="E168" s="31">
        <v>3</v>
      </c>
      <c r="G168" s="40">
        <v>173</v>
      </c>
      <c r="H168" s="143">
        <v>180</v>
      </c>
      <c r="O168" s="143">
        <v>2905</v>
      </c>
    </row>
    <row r="169" spans="1:15" s="143" customFormat="1" x14ac:dyDescent="0.25">
      <c r="A169" s="24">
        <v>42156</v>
      </c>
      <c r="B169" s="144">
        <f t="shared" si="3"/>
        <v>0.6</v>
      </c>
      <c r="C169" s="145">
        <v>0.9</v>
      </c>
      <c r="D169" s="31">
        <v>5</v>
      </c>
      <c r="E169" s="31">
        <v>3</v>
      </c>
      <c r="G169" s="40">
        <v>213.4</v>
      </c>
      <c r="H169" s="143">
        <v>180</v>
      </c>
      <c r="O169" s="143">
        <v>365</v>
      </c>
    </row>
    <row r="170" spans="1:15" s="143" customFormat="1" x14ac:dyDescent="0.25">
      <c r="A170" s="24">
        <v>42200</v>
      </c>
      <c r="B170" s="144" t="e">
        <f t="shared" si="3"/>
        <v>#DIV/0!</v>
      </c>
      <c r="C170" s="145">
        <v>0.9</v>
      </c>
      <c r="D170" s="31">
        <v>0</v>
      </c>
      <c r="E170" s="31">
        <v>0</v>
      </c>
      <c r="G170" s="40">
        <v>0</v>
      </c>
      <c r="H170" s="143">
        <v>180</v>
      </c>
      <c r="O170" s="143">
        <v>2576</v>
      </c>
    </row>
    <row r="171" spans="1:15" s="143" customFormat="1" x14ac:dyDescent="0.25">
      <c r="A171" s="24">
        <v>42217</v>
      </c>
      <c r="B171" s="144">
        <f t="shared" si="3"/>
        <v>0.625</v>
      </c>
      <c r="C171" s="145">
        <v>0.9</v>
      </c>
      <c r="D171" s="31">
        <v>8</v>
      </c>
      <c r="E171" s="31">
        <v>5</v>
      </c>
      <c r="G171" s="40">
        <v>226</v>
      </c>
      <c r="H171" s="143">
        <v>180</v>
      </c>
      <c r="O171" s="143">
        <v>2586</v>
      </c>
    </row>
    <row r="172" spans="1:15" s="143" customFormat="1" x14ac:dyDescent="0.25">
      <c r="A172" s="24">
        <v>42262</v>
      </c>
      <c r="B172" s="144" t="e">
        <f t="shared" si="3"/>
        <v>#DIV/0!</v>
      </c>
      <c r="C172" s="145">
        <v>0.9</v>
      </c>
      <c r="D172" s="31">
        <v>0</v>
      </c>
      <c r="E172" s="31">
        <v>0</v>
      </c>
      <c r="G172" s="40">
        <v>0</v>
      </c>
      <c r="H172" s="143">
        <v>180</v>
      </c>
      <c r="O172" s="143">
        <v>18</v>
      </c>
    </row>
    <row r="173" spans="1:15" s="143" customFormat="1" x14ac:dyDescent="0.25">
      <c r="A173" s="24">
        <v>42292</v>
      </c>
      <c r="B173" s="144">
        <f t="shared" si="3"/>
        <v>0.63636363636363635</v>
      </c>
      <c r="C173" s="145">
        <v>0.9</v>
      </c>
      <c r="D173" s="31">
        <v>11</v>
      </c>
      <c r="E173" s="31">
        <v>7</v>
      </c>
      <c r="G173" s="40">
        <v>203.9</v>
      </c>
      <c r="H173" s="143">
        <v>180</v>
      </c>
      <c r="O173" s="143">
        <v>2537</v>
      </c>
    </row>
    <row r="174" spans="1:15" s="143" customFormat="1" x14ac:dyDescent="0.25">
      <c r="A174" s="24">
        <v>42309</v>
      </c>
      <c r="B174" s="144">
        <f t="shared" si="3"/>
        <v>0.2857142857142857</v>
      </c>
      <c r="C174" s="145">
        <v>0.9</v>
      </c>
      <c r="D174" s="31">
        <v>7</v>
      </c>
      <c r="E174" s="31">
        <v>2</v>
      </c>
      <c r="G174" s="40">
        <v>220.6</v>
      </c>
      <c r="H174" s="143">
        <v>180</v>
      </c>
      <c r="O174" s="143">
        <v>2615</v>
      </c>
    </row>
    <row r="175" spans="1:15" s="143" customFormat="1" x14ac:dyDescent="0.25">
      <c r="A175" s="24">
        <v>42339</v>
      </c>
      <c r="B175" s="144">
        <f t="shared" si="3"/>
        <v>0.5714285714285714</v>
      </c>
      <c r="C175" s="145">
        <v>0.9</v>
      </c>
      <c r="D175" s="31">
        <v>7</v>
      </c>
      <c r="E175" s="31">
        <v>4</v>
      </c>
      <c r="G175" s="40">
        <v>168.1</v>
      </c>
      <c r="H175" s="143">
        <v>180</v>
      </c>
      <c r="O175" s="143">
        <v>2562</v>
      </c>
    </row>
    <row r="176" spans="1:15" s="143" customFormat="1" x14ac:dyDescent="0.25">
      <c r="A176" s="24">
        <v>42370</v>
      </c>
      <c r="B176" s="144">
        <f t="shared" si="3"/>
        <v>0.2857142857142857</v>
      </c>
      <c r="C176" s="145">
        <v>0.9</v>
      </c>
      <c r="D176" s="31">
        <v>14</v>
      </c>
      <c r="E176" s="31">
        <v>4</v>
      </c>
      <c r="G176" s="40">
        <v>265</v>
      </c>
      <c r="H176" s="143">
        <v>180</v>
      </c>
      <c r="O176" s="143">
        <v>73</v>
      </c>
    </row>
    <row r="177" spans="1:16" s="143" customFormat="1" x14ac:dyDescent="0.25">
      <c r="A177" s="24">
        <v>42401</v>
      </c>
      <c r="B177" s="144">
        <f t="shared" si="3"/>
        <v>9.0909090909090912E-2</v>
      </c>
      <c r="C177" s="145">
        <v>0.9</v>
      </c>
      <c r="D177" s="31">
        <v>11</v>
      </c>
      <c r="E177" s="31">
        <v>1</v>
      </c>
      <c r="G177" s="40">
        <v>248</v>
      </c>
      <c r="H177" s="143">
        <v>180</v>
      </c>
      <c r="O177" s="143">
        <v>1199</v>
      </c>
    </row>
    <row r="178" spans="1:16" s="143" customFormat="1" x14ac:dyDescent="0.25">
      <c r="A178" s="24">
        <v>42430</v>
      </c>
      <c r="B178" s="144">
        <f t="shared" si="3"/>
        <v>0.33333333333333331</v>
      </c>
      <c r="C178" s="145">
        <v>0.9</v>
      </c>
      <c r="D178" s="31">
        <v>3</v>
      </c>
      <c r="E178" s="31">
        <v>1</v>
      </c>
      <c r="G178" s="40">
        <v>541</v>
      </c>
      <c r="H178" s="143">
        <v>180</v>
      </c>
      <c r="O178" s="143">
        <f>SUM(O166:O177)</f>
        <v>20421</v>
      </c>
      <c r="P178" s="143">
        <f>O178/12</f>
        <v>1701.75</v>
      </c>
    </row>
    <row r="179" spans="1:16" s="143" customFormat="1" x14ac:dyDescent="0.25">
      <c r="A179" s="24">
        <v>42461</v>
      </c>
      <c r="B179" s="144">
        <f t="shared" si="3"/>
        <v>0</v>
      </c>
      <c r="C179" s="145">
        <v>0.9</v>
      </c>
      <c r="D179" s="31">
        <v>2</v>
      </c>
      <c r="E179" s="31">
        <v>0</v>
      </c>
      <c r="G179" s="40">
        <v>497</v>
      </c>
      <c r="H179" s="143">
        <v>180</v>
      </c>
    </row>
    <row r="180" spans="1:16" s="143" customFormat="1" x14ac:dyDescent="0.25">
      <c r="A180" s="24">
        <v>42491</v>
      </c>
      <c r="B180" s="144">
        <f t="shared" si="3"/>
        <v>0.33333333333333331</v>
      </c>
      <c r="C180" s="145">
        <v>0.9</v>
      </c>
      <c r="D180" s="31">
        <v>6</v>
      </c>
      <c r="E180" s="31">
        <v>2</v>
      </c>
      <c r="G180" s="40">
        <v>167</v>
      </c>
      <c r="H180" s="143">
        <v>180</v>
      </c>
    </row>
    <row r="181" spans="1:16" s="143" customFormat="1" x14ac:dyDescent="0.25">
      <c r="A181" s="24">
        <v>42522</v>
      </c>
      <c r="B181" s="144">
        <f t="shared" si="3"/>
        <v>0.10526315789473684</v>
      </c>
      <c r="C181" s="145">
        <v>0.9</v>
      </c>
      <c r="D181" s="31">
        <v>19</v>
      </c>
      <c r="E181" s="31">
        <v>2</v>
      </c>
      <c r="G181" s="40">
        <v>1363</v>
      </c>
      <c r="H181" s="143">
        <v>180</v>
      </c>
    </row>
    <row r="182" spans="1:16" s="143" customFormat="1" x14ac:dyDescent="0.25">
      <c r="A182" s="24">
        <v>42552</v>
      </c>
      <c r="B182" s="144">
        <f t="shared" si="3"/>
        <v>0.4</v>
      </c>
      <c r="C182" s="145">
        <v>0.9</v>
      </c>
      <c r="D182" s="31">
        <v>5</v>
      </c>
      <c r="E182" s="31">
        <v>2</v>
      </c>
      <c r="G182" s="40">
        <v>276.39999999999998</v>
      </c>
      <c r="H182" s="143">
        <v>180</v>
      </c>
    </row>
    <row r="183" spans="1:16" s="143" customFormat="1" x14ac:dyDescent="0.25">
      <c r="A183" s="24">
        <v>42583</v>
      </c>
      <c r="B183" s="144">
        <f t="shared" si="3"/>
        <v>0.16666666666666666</v>
      </c>
      <c r="C183" s="145">
        <v>0.9</v>
      </c>
      <c r="D183" s="31">
        <v>12</v>
      </c>
      <c r="E183" s="31">
        <v>2</v>
      </c>
      <c r="G183" s="40">
        <v>1702</v>
      </c>
      <c r="H183" s="143">
        <v>180</v>
      </c>
    </row>
    <row r="184" spans="1:16" s="143" customFormat="1" x14ac:dyDescent="0.25">
      <c r="A184" s="24"/>
      <c r="B184" s="144"/>
      <c r="C184" s="145"/>
      <c r="D184" s="31"/>
      <c r="E184" s="31"/>
      <c r="G184" s="40"/>
    </row>
    <row r="192" spans="1:16" s="143" customFormat="1" x14ac:dyDescent="0.25"/>
    <row r="193" spans="1:8" s="143" customFormat="1" x14ac:dyDescent="0.25"/>
    <row r="194" spans="1:8" s="143" customFormat="1" x14ac:dyDescent="0.25"/>
    <row r="195" spans="1:8" s="143" customFormat="1" x14ac:dyDescent="0.25"/>
    <row r="199" spans="1:8" s="143" customFormat="1" x14ac:dyDescent="0.25"/>
    <row r="200" spans="1:8" s="143" customFormat="1" x14ac:dyDescent="0.25"/>
    <row r="202" spans="1:8" ht="18.75" x14ac:dyDescent="0.3">
      <c r="A202" s="123" t="s">
        <v>311</v>
      </c>
      <c r="B202" s="29"/>
      <c r="D202" s="29"/>
      <c r="E202" s="29"/>
    </row>
    <row r="203" spans="1:8" ht="15.75" x14ac:dyDescent="0.25">
      <c r="A203" s="102" t="s">
        <v>333</v>
      </c>
      <c r="B203" s="102"/>
      <c r="C203" s="102"/>
      <c r="D203" s="102"/>
      <c r="E203" s="102"/>
      <c r="F203" s="102"/>
      <c r="G203" s="102"/>
    </row>
    <row r="204" spans="1:8" ht="47.25" customHeight="1" x14ac:dyDescent="0.25">
      <c r="A204" s="23" t="s">
        <v>57</v>
      </c>
      <c r="B204" s="29" t="s">
        <v>334</v>
      </c>
      <c r="C204" s="23" t="s">
        <v>2</v>
      </c>
      <c r="D204" s="29" t="s">
        <v>335</v>
      </c>
      <c r="E204" s="119" t="s">
        <v>336</v>
      </c>
      <c r="G204" s="29" t="s">
        <v>281</v>
      </c>
      <c r="H204" s="23" t="s">
        <v>318</v>
      </c>
    </row>
    <row r="205" spans="1:8" hidden="1" x14ac:dyDescent="0.25">
      <c r="A205" s="24">
        <v>41334</v>
      </c>
      <c r="B205" s="25">
        <f>E205/D205</f>
        <v>1</v>
      </c>
      <c r="C205" s="26">
        <v>0.9</v>
      </c>
      <c r="D205" s="31">
        <v>10</v>
      </c>
      <c r="E205" s="31">
        <v>10</v>
      </c>
      <c r="G205" s="23">
        <v>28.5</v>
      </c>
      <c r="H205" s="23">
        <v>45</v>
      </c>
    </row>
    <row r="206" spans="1:8" hidden="1" x14ac:dyDescent="0.25">
      <c r="A206" s="24">
        <v>41365</v>
      </c>
      <c r="B206" s="25">
        <f>E206/D206</f>
        <v>0.625</v>
      </c>
      <c r="C206" s="26">
        <v>0.9</v>
      </c>
      <c r="D206" s="31">
        <v>16</v>
      </c>
      <c r="E206" s="31">
        <v>10</v>
      </c>
      <c r="G206" s="23">
        <v>46.6</v>
      </c>
      <c r="H206" s="23">
        <v>45</v>
      </c>
    </row>
    <row r="207" spans="1:8" hidden="1" x14ac:dyDescent="0.25">
      <c r="A207" s="24">
        <v>41395</v>
      </c>
      <c r="B207" s="144">
        <f>E207/D207</f>
        <v>0.8</v>
      </c>
      <c r="C207" s="26">
        <v>0.9</v>
      </c>
      <c r="D207" s="31">
        <v>5</v>
      </c>
      <c r="E207" s="31">
        <v>4</v>
      </c>
      <c r="G207" s="23">
        <v>53</v>
      </c>
      <c r="H207" s="23">
        <v>45</v>
      </c>
    </row>
    <row r="208" spans="1:8" hidden="1" x14ac:dyDescent="0.25">
      <c r="A208" s="24">
        <v>41426</v>
      </c>
      <c r="B208" s="144">
        <f t="shared" ref="B208:B219" si="4">E208/D208</f>
        <v>0.6</v>
      </c>
      <c r="C208" s="26">
        <v>0.9</v>
      </c>
      <c r="D208" s="31">
        <v>10</v>
      </c>
      <c r="E208" s="31">
        <v>6</v>
      </c>
      <c r="G208" s="143">
        <v>54</v>
      </c>
      <c r="H208" s="143">
        <v>45</v>
      </c>
    </row>
    <row r="209" spans="1:21" hidden="1" x14ac:dyDescent="0.25">
      <c r="A209" s="24">
        <v>41456</v>
      </c>
      <c r="B209" s="25">
        <f t="shared" si="4"/>
        <v>0.33333333333333331</v>
      </c>
      <c r="C209" s="145">
        <v>0.9</v>
      </c>
      <c r="D209" s="31">
        <v>9</v>
      </c>
      <c r="E209" s="31">
        <v>3</v>
      </c>
      <c r="G209" s="143">
        <v>89</v>
      </c>
      <c r="H209" s="143">
        <v>45</v>
      </c>
    </row>
    <row r="210" spans="1:21" hidden="1" x14ac:dyDescent="0.25">
      <c r="A210" s="24">
        <v>41487</v>
      </c>
      <c r="B210" s="25">
        <f t="shared" si="4"/>
        <v>0.4375</v>
      </c>
      <c r="C210" s="145">
        <v>0.9</v>
      </c>
      <c r="D210" s="31">
        <v>16</v>
      </c>
      <c r="E210" s="31">
        <v>7</v>
      </c>
      <c r="G210" s="143">
        <v>95</v>
      </c>
      <c r="H210" s="143">
        <v>45</v>
      </c>
      <c r="U210" s="143"/>
    </row>
    <row r="211" spans="1:21" hidden="1" x14ac:dyDescent="0.25">
      <c r="A211" s="24">
        <v>41518</v>
      </c>
      <c r="B211" s="25">
        <f t="shared" si="4"/>
        <v>0.66666666666666663</v>
      </c>
      <c r="C211" s="26">
        <v>0.9</v>
      </c>
      <c r="D211" s="31">
        <v>9</v>
      </c>
      <c r="E211" s="31">
        <v>6</v>
      </c>
      <c r="G211" s="143">
        <v>41</v>
      </c>
      <c r="H211" s="143">
        <v>45</v>
      </c>
      <c r="U211" s="143"/>
    </row>
    <row r="212" spans="1:21" hidden="1" x14ac:dyDescent="0.25">
      <c r="A212" s="24">
        <v>41548</v>
      </c>
      <c r="B212" s="144">
        <f t="shared" si="4"/>
        <v>0.5</v>
      </c>
      <c r="C212" s="145">
        <v>0.9</v>
      </c>
      <c r="D212" s="31">
        <v>6</v>
      </c>
      <c r="E212" s="31">
        <v>3</v>
      </c>
      <c r="G212" s="143">
        <v>74</v>
      </c>
      <c r="H212" s="143">
        <v>45</v>
      </c>
      <c r="U212" s="143"/>
    </row>
    <row r="213" spans="1:21" ht="12" hidden="1" customHeight="1" x14ac:dyDescent="0.25">
      <c r="A213" s="24">
        <v>41579</v>
      </c>
      <c r="B213" s="144">
        <f t="shared" si="4"/>
        <v>0.72727272727272729</v>
      </c>
      <c r="C213" s="145">
        <v>0.9</v>
      </c>
      <c r="D213" s="31">
        <v>11</v>
      </c>
      <c r="E213" s="31">
        <v>8</v>
      </c>
      <c r="G213" s="143">
        <v>42</v>
      </c>
      <c r="H213" s="143">
        <v>45</v>
      </c>
      <c r="U213" s="143"/>
    </row>
    <row r="214" spans="1:21" hidden="1" x14ac:dyDescent="0.25">
      <c r="A214" s="24">
        <v>41609</v>
      </c>
      <c r="B214" s="144">
        <f t="shared" si="4"/>
        <v>0.25</v>
      </c>
      <c r="C214" s="145">
        <v>0.9</v>
      </c>
      <c r="D214" s="31">
        <v>4</v>
      </c>
      <c r="E214" s="31">
        <v>1</v>
      </c>
      <c r="G214" s="143">
        <v>62</v>
      </c>
      <c r="H214" s="143">
        <v>45</v>
      </c>
      <c r="U214" s="143"/>
    </row>
    <row r="215" spans="1:21" s="143" customFormat="1" hidden="1" x14ac:dyDescent="0.25">
      <c r="A215" s="24">
        <v>41640</v>
      </c>
      <c r="B215" s="144">
        <f t="shared" si="4"/>
        <v>0.375</v>
      </c>
      <c r="C215" s="145">
        <v>0.9</v>
      </c>
      <c r="D215" s="31">
        <v>8</v>
      </c>
      <c r="E215" s="31">
        <v>3</v>
      </c>
      <c r="G215" s="143">
        <v>81</v>
      </c>
      <c r="H215" s="143">
        <v>45</v>
      </c>
    </row>
    <row r="216" spans="1:21" hidden="1" x14ac:dyDescent="0.25">
      <c r="A216" s="24">
        <v>41671</v>
      </c>
      <c r="B216" s="144">
        <f t="shared" si="4"/>
        <v>0.63636363636363635</v>
      </c>
      <c r="C216" s="145">
        <v>0.9</v>
      </c>
      <c r="D216" s="31">
        <v>11</v>
      </c>
      <c r="E216" s="31">
        <v>7</v>
      </c>
      <c r="G216" s="143">
        <v>50</v>
      </c>
      <c r="H216" s="143">
        <v>45</v>
      </c>
      <c r="U216" s="143"/>
    </row>
    <row r="217" spans="1:21" s="143" customFormat="1" hidden="1" x14ac:dyDescent="0.25">
      <c r="A217" s="24">
        <v>41699</v>
      </c>
      <c r="B217" s="144">
        <f t="shared" si="4"/>
        <v>0.66666666666666663</v>
      </c>
      <c r="C217" s="145">
        <v>0.9</v>
      </c>
      <c r="D217" s="31">
        <v>9</v>
      </c>
      <c r="E217" s="31">
        <v>6</v>
      </c>
      <c r="G217" s="143">
        <v>58</v>
      </c>
      <c r="H217" s="143">
        <v>45</v>
      </c>
    </row>
    <row r="218" spans="1:21" s="143" customFormat="1" hidden="1" x14ac:dyDescent="0.25">
      <c r="A218" s="24">
        <v>41730</v>
      </c>
      <c r="B218" s="144">
        <f t="shared" si="4"/>
        <v>0.77777777777777779</v>
      </c>
      <c r="C218" s="145">
        <v>0.9</v>
      </c>
      <c r="D218" s="31">
        <v>9</v>
      </c>
      <c r="E218" s="31">
        <v>7</v>
      </c>
      <c r="G218" s="143">
        <v>28</v>
      </c>
      <c r="H218" s="143">
        <v>45</v>
      </c>
    </row>
    <row r="219" spans="1:21" s="143" customFormat="1" hidden="1" x14ac:dyDescent="0.25">
      <c r="A219" s="24">
        <v>41760</v>
      </c>
      <c r="B219" s="144">
        <f t="shared" si="4"/>
        <v>0.8571428571428571</v>
      </c>
      <c r="C219" s="145">
        <v>0.9</v>
      </c>
      <c r="D219" s="31">
        <v>7</v>
      </c>
      <c r="E219" s="31">
        <v>6</v>
      </c>
      <c r="G219" s="143">
        <v>38</v>
      </c>
      <c r="H219" s="143">
        <v>45</v>
      </c>
    </row>
    <row r="220" spans="1:21" hidden="1" x14ac:dyDescent="0.25">
      <c r="A220" s="24">
        <v>41791</v>
      </c>
      <c r="B220" s="144">
        <f t="shared" ref="B220:B246" si="5">E220/D220</f>
        <v>0.75</v>
      </c>
      <c r="C220" s="145">
        <v>0.9</v>
      </c>
      <c r="D220" s="31">
        <v>8</v>
      </c>
      <c r="E220" s="31">
        <v>6</v>
      </c>
      <c r="F220" s="143"/>
      <c r="G220" s="143">
        <v>34</v>
      </c>
      <c r="H220" s="143">
        <v>45</v>
      </c>
      <c r="U220" s="143"/>
    </row>
    <row r="221" spans="1:21" s="143" customFormat="1" hidden="1" x14ac:dyDescent="0.25">
      <c r="A221" s="24">
        <v>41821</v>
      </c>
      <c r="B221" s="144">
        <f t="shared" si="5"/>
        <v>0.5714285714285714</v>
      </c>
      <c r="C221" s="145">
        <v>0.9</v>
      </c>
      <c r="D221" s="31">
        <v>7</v>
      </c>
      <c r="E221" s="31">
        <v>4</v>
      </c>
      <c r="G221" s="143">
        <v>50</v>
      </c>
      <c r="H221" s="143">
        <v>45</v>
      </c>
    </row>
    <row r="222" spans="1:21" s="143" customFormat="1" hidden="1" x14ac:dyDescent="0.25">
      <c r="A222" s="24">
        <v>41852</v>
      </c>
      <c r="B222" s="144">
        <f t="shared" si="5"/>
        <v>0.45454545454545453</v>
      </c>
      <c r="C222" s="145">
        <v>0.9</v>
      </c>
      <c r="D222" s="31">
        <v>11</v>
      </c>
      <c r="E222" s="31">
        <v>5</v>
      </c>
      <c r="G222" s="143">
        <v>50</v>
      </c>
      <c r="H222" s="143">
        <v>45</v>
      </c>
    </row>
    <row r="223" spans="1:21" hidden="1" x14ac:dyDescent="0.25">
      <c r="A223" s="24">
        <v>41883</v>
      </c>
      <c r="B223" s="144">
        <f t="shared" si="5"/>
        <v>0.41666666666666669</v>
      </c>
      <c r="C223" s="145">
        <v>0.9</v>
      </c>
      <c r="D223" s="31">
        <v>12</v>
      </c>
      <c r="E223" s="31">
        <v>5</v>
      </c>
      <c r="G223" s="143">
        <v>50</v>
      </c>
      <c r="H223" s="143">
        <v>45</v>
      </c>
      <c r="U223" s="143"/>
    </row>
    <row r="224" spans="1:21" hidden="1" x14ac:dyDescent="0.25">
      <c r="A224" s="24">
        <v>41913</v>
      </c>
      <c r="B224" s="144">
        <f t="shared" si="5"/>
        <v>0.33333333333333331</v>
      </c>
      <c r="C224" s="145">
        <v>0.9</v>
      </c>
      <c r="D224" s="31">
        <v>6</v>
      </c>
      <c r="E224" s="31">
        <v>2</v>
      </c>
      <c r="G224" s="143">
        <v>52</v>
      </c>
      <c r="H224" s="143">
        <v>45</v>
      </c>
      <c r="U224" s="143"/>
    </row>
    <row r="225" spans="1:21" hidden="1" x14ac:dyDescent="0.25">
      <c r="A225" s="24">
        <v>41944</v>
      </c>
      <c r="B225" s="144">
        <f t="shared" si="5"/>
        <v>0.83333333333333337</v>
      </c>
      <c r="C225" s="145">
        <v>0.9</v>
      </c>
      <c r="D225" s="31">
        <v>6</v>
      </c>
      <c r="E225" s="31">
        <v>5</v>
      </c>
      <c r="G225" s="143">
        <v>40</v>
      </c>
      <c r="H225" s="143">
        <v>45</v>
      </c>
      <c r="U225" s="143"/>
    </row>
    <row r="226" spans="1:21" hidden="1" x14ac:dyDescent="0.25">
      <c r="A226" s="24">
        <v>41974</v>
      </c>
      <c r="B226" s="144">
        <f t="shared" si="5"/>
        <v>0.6</v>
      </c>
      <c r="C226" s="145">
        <v>0.9</v>
      </c>
      <c r="D226" s="31">
        <v>10</v>
      </c>
      <c r="E226" s="31">
        <v>6</v>
      </c>
      <c r="G226" s="143">
        <v>52</v>
      </c>
      <c r="H226" s="143">
        <v>45</v>
      </c>
      <c r="U226" s="143"/>
    </row>
    <row r="227" spans="1:21" hidden="1" x14ac:dyDescent="0.25">
      <c r="A227" s="24">
        <v>42005</v>
      </c>
      <c r="B227" s="144">
        <f t="shared" si="5"/>
        <v>0.83333333333333337</v>
      </c>
      <c r="C227" s="145">
        <v>0.9</v>
      </c>
      <c r="D227" s="31">
        <v>6</v>
      </c>
      <c r="E227" s="31">
        <v>5</v>
      </c>
      <c r="G227" s="143">
        <v>28</v>
      </c>
      <c r="H227" s="143">
        <v>45</v>
      </c>
      <c r="U227" s="143"/>
    </row>
    <row r="228" spans="1:21" hidden="1" x14ac:dyDescent="0.25">
      <c r="A228" s="24">
        <v>42036</v>
      </c>
      <c r="B228" s="144">
        <f t="shared" si="5"/>
        <v>1</v>
      </c>
      <c r="C228" s="145">
        <v>0.9</v>
      </c>
      <c r="D228" s="31">
        <v>3</v>
      </c>
      <c r="E228" s="31">
        <v>3</v>
      </c>
      <c r="G228" s="143">
        <v>16</v>
      </c>
      <c r="H228" s="143">
        <v>45</v>
      </c>
    </row>
    <row r="229" spans="1:21" x14ac:dyDescent="0.25">
      <c r="A229" s="24">
        <v>42064</v>
      </c>
      <c r="B229" s="144">
        <f t="shared" si="5"/>
        <v>0.5</v>
      </c>
      <c r="C229" s="145">
        <v>0.9</v>
      </c>
      <c r="D229" s="31">
        <v>2</v>
      </c>
      <c r="E229" s="31">
        <v>1</v>
      </c>
      <c r="G229" s="143">
        <v>209</v>
      </c>
      <c r="H229" s="143">
        <v>45</v>
      </c>
    </row>
    <row r="230" spans="1:21" x14ac:dyDescent="0.25">
      <c r="A230" s="24">
        <v>42095</v>
      </c>
      <c r="B230" s="144">
        <f t="shared" si="5"/>
        <v>1</v>
      </c>
      <c r="C230" s="145">
        <v>0.9</v>
      </c>
      <c r="D230" s="31">
        <v>1</v>
      </c>
      <c r="E230" s="31">
        <v>1</v>
      </c>
      <c r="G230" s="143">
        <v>28</v>
      </c>
      <c r="H230" s="143">
        <v>45</v>
      </c>
    </row>
    <row r="231" spans="1:21" x14ac:dyDescent="0.25">
      <c r="A231" s="24">
        <v>42125</v>
      </c>
      <c r="B231" s="144">
        <f t="shared" si="5"/>
        <v>0.83333333333333337</v>
      </c>
      <c r="C231" s="145">
        <v>0.9</v>
      </c>
      <c r="D231" s="31">
        <v>6</v>
      </c>
      <c r="E231" s="31">
        <v>5</v>
      </c>
      <c r="G231" s="143">
        <v>46</v>
      </c>
      <c r="H231" s="143">
        <v>45</v>
      </c>
    </row>
    <row r="232" spans="1:21" s="143" customFormat="1" x14ac:dyDescent="0.25">
      <c r="A232" s="24">
        <v>42156</v>
      </c>
      <c r="B232" s="144">
        <f t="shared" si="5"/>
        <v>1</v>
      </c>
      <c r="C232" s="145">
        <v>0.9</v>
      </c>
      <c r="D232" s="31">
        <v>1</v>
      </c>
      <c r="E232" s="31">
        <v>1</v>
      </c>
      <c r="G232" s="143">
        <v>25</v>
      </c>
      <c r="H232" s="143">
        <v>45</v>
      </c>
    </row>
    <row r="233" spans="1:21" s="143" customFormat="1" x14ac:dyDescent="0.25">
      <c r="A233" s="24">
        <v>42200</v>
      </c>
      <c r="B233" s="144">
        <f t="shared" si="5"/>
        <v>1</v>
      </c>
      <c r="C233" s="145">
        <v>0.9</v>
      </c>
      <c r="D233" s="31">
        <v>2</v>
      </c>
      <c r="E233" s="31">
        <v>2</v>
      </c>
      <c r="G233" s="143">
        <v>10</v>
      </c>
      <c r="H233" s="143">
        <v>45</v>
      </c>
    </row>
    <row r="234" spans="1:21" s="143" customFormat="1" x14ac:dyDescent="0.25">
      <c r="A234" s="24">
        <v>42217</v>
      </c>
      <c r="B234" s="144">
        <f t="shared" si="5"/>
        <v>0.83333333333333337</v>
      </c>
      <c r="C234" s="145">
        <v>0.9</v>
      </c>
      <c r="D234" s="31">
        <v>6</v>
      </c>
      <c r="E234" s="31">
        <v>5</v>
      </c>
      <c r="G234" s="143">
        <v>46</v>
      </c>
      <c r="H234" s="143">
        <v>45</v>
      </c>
    </row>
    <row r="235" spans="1:21" s="143" customFormat="1" x14ac:dyDescent="0.25">
      <c r="A235" s="24">
        <v>42262</v>
      </c>
      <c r="B235" s="144">
        <f t="shared" si="5"/>
        <v>0.5</v>
      </c>
      <c r="C235" s="145">
        <v>0.9</v>
      </c>
      <c r="D235" s="31">
        <v>10</v>
      </c>
      <c r="E235" s="31">
        <v>5</v>
      </c>
      <c r="G235" s="143">
        <v>55</v>
      </c>
      <c r="H235" s="143">
        <v>45</v>
      </c>
    </row>
    <row r="236" spans="1:21" s="143" customFormat="1" x14ac:dyDescent="0.25">
      <c r="A236" s="24">
        <v>42292</v>
      </c>
      <c r="B236" s="144">
        <f t="shared" si="5"/>
        <v>0.72727272727272729</v>
      </c>
      <c r="C236" s="145">
        <v>0.9</v>
      </c>
      <c r="D236" s="31">
        <v>11</v>
      </c>
      <c r="E236" s="31">
        <v>8</v>
      </c>
      <c r="G236" s="143">
        <v>42</v>
      </c>
      <c r="H236" s="143">
        <v>45</v>
      </c>
    </row>
    <row r="237" spans="1:21" s="143" customFormat="1" x14ac:dyDescent="0.25">
      <c r="A237" s="24">
        <v>42309</v>
      </c>
      <c r="B237" s="144">
        <f t="shared" si="5"/>
        <v>0.83333333333333337</v>
      </c>
      <c r="C237" s="145">
        <v>0.9</v>
      </c>
      <c r="D237" s="31">
        <v>6</v>
      </c>
      <c r="E237" s="31">
        <v>5</v>
      </c>
      <c r="G237" s="143">
        <v>40</v>
      </c>
      <c r="H237" s="143">
        <v>45</v>
      </c>
    </row>
    <row r="238" spans="1:21" s="143" customFormat="1" x14ac:dyDescent="0.25">
      <c r="A238" s="24">
        <v>42339</v>
      </c>
      <c r="B238" s="144">
        <f t="shared" si="5"/>
        <v>0.75</v>
      </c>
      <c r="C238" s="145">
        <v>0.9</v>
      </c>
      <c r="D238" s="31">
        <v>4</v>
      </c>
      <c r="E238" s="31">
        <v>3</v>
      </c>
      <c r="G238" s="143">
        <v>44</v>
      </c>
      <c r="H238" s="143">
        <v>45</v>
      </c>
    </row>
    <row r="239" spans="1:21" s="143" customFormat="1" x14ac:dyDescent="0.25">
      <c r="A239" s="24">
        <v>42370</v>
      </c>
      <c r="B239" s="144">
        <f t="shared" si="5"/>
        <v>0.625</v>
      </c>
      <c r="C239" s="145">
        <v>0.9</v>
      </c>
      <c r="D239" s="31">
        <v>8</v>
      </c>
      <c r="E239" s="31">
        <v>5</v>
      </c>
      <c r="G239" s="143">
        <v>39</v>
      </c>
      <c r="H239" s="143">
        <v>45</v>
      </c>
    </row>
    <row r="240" spans="1:21" s="143" customFormat="1" x14ac:dyDescent="0.25">
      <c r="A240" s="24">
        <v>42401</v>
      </c>
      <c r="B240" s="144">
        <f t="shared" si="5"/>
        <v>0.8</v>
      </c>
      <c r="C240" s="145">
        <v>0.9</v>
      </c>
      <c r="D240" s="31">
        <v>5</v>
      </c>
      <c r="E240" s="31">
        <v>4</v>
      </c>
      <c r="G240" s="143">
        <v>53</v>
      </c>
      <c r="H240" s="143">
        <v>45</v>
      </c>
    </row>
    <row r="241" spans="1:8" s="143" customFormat="1" x14ac:dyDescent="0.25">
      <c r="A241" s="24">
        <v>42430</v>
      </c>
      <c r="B241" s="144">
        <f t="shared" si="5"/>
        <v>0.7142857142857143</v>
      </c>
      <c r="C241" s="145">
        <v>0.9</v>
      </c>
      <c r="D241" s="31">
        <v>7</v>
      </c>
      <c r="E241" s="31">
        <v>5</v>
      </c>
      <c r="G241" s="143">
        <v>38</v>
      </c>
      <c r="H241" s="143">
        <v>45</v>
      </c>
    </row>
    <row r="242" spans="1:8" s="143" customFormat="1" x14ac:dyDescent="0.25">
      <c r="A242" s="24">
        <v>42461</v>
      </c>
      <c r="B242" s="144">
        <f t="shared" si="5"/>
        <v>1</v>
      </c>
      <c r="C242" s="145">
        <v>0.9</v>
      </c>
      <c r="D242" s="31">
        <v>5</v>
      </c>
      <c r="E242" s="31">
        <v>5</v>
      </c>
      <c r="G242" s="143">
        <v>31</v>
      </c>
      <c r="H242" s="143">
        <v>45</v>
      </c>
    </row>
    <row r="243" spans="1:8" s="143" customFormat="1" x14ac:dyDescent="0.25">
      <c r="A243" s="24">
        <v>42491</v>
      </c>
      <c r="B243" s="144">
        <f t="shared" si="5"/>
        <v>0.83333333333333337</v>
      </c>
      <c r="C243" s="145">
        <v>0.9</v>
      </c>
      <c r="D243" s="31">
        <v>6</v>
      </c>
      <c r="E243" s="31">
        <v>5</v>
      </c>
      <c r="G243" s="143">
        <v>27</v>
      </c>
      <c r="H243" s="143">
        <v>45</v>
      </c>
    </row>
    <row r="244" spans="1:8" s="143" customFormat="1" x14ac:dyDescent="0.25">
      <c r="A244" s="24">
        <v>42522</v>
      </c>
      <c r="B244" s="144">
        <f t="shared" si="5"/>
        <v>0.33333333333333331</v>
      </c>
      <c r="C244" s="145">
        <v>0.9</v>
      </c>
      <c r="D244" s="31">
        <v>3</v>
      </c>
      <c r="E244" s="31">
        <v>1</v>
      </c>
      <c r="G244" s="143">
        <v>89</v>
      </c>
      <c r="H244" s="143">
        <v>45</v>
      </c>
    </row>
    <row r="245" spans="1:8" s="143" customFormat="1" x14ac:dyDescent="0.25">
      <c r="A245" s="24">
        <v>42552</v>
      </c>
      <c r="B245" s="144">
        <f t="shared" si="5"/>
        <v>0.45454545454545453</v>
      </c>
      <c r="C245" s="145">
        <v>0.9</v>
      </c>
      <c r="D245" s="31">
        <v>11</v>
      </c>
      <c r="E245" s="31">
        <v>5</v>
      </c>
      <c r="G245" s="143">
        <v>38</v>
      </c>
      <c r="H245" s="143">
        <v>45</v>
      </c>
    </row>
    <row r="246" spans="1:8" s="143" customFormat="1" x14ac:dyDescent="0.25">
      <c r="A246" s="24">
        <v>42583</v>
      </c>
      <c r="B246" s="144">
        <f t="shared" si="5"/>
        <v>0.6</v>
      </c>
      <c r="C246" s="145">
        <v>0.9</v>
      </c>
      <c r="D246" s="31">
        <v>5</v>
      </c>
      <c r="E246" s="31">
        <v>3</v>
      </c>
      <c r="G246" s="143">
        <v>35</v>
      </c>
      <c r="H246" s="143">
        <v>45</v>
      </c>
    </row>
    <row r="247" spans="1:8" x14ac:dyDescent="0.25">
      <c r="A247" s="24"/>
    </row>
  </sheetData>
  <pageMargins left="0.25" right="0.25" top="0.75" bottom="0.75" header="0.3" footer="0.3"/>
  <pageSetup paperSize="5" scale="6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4"/>
  <sheetViews>
    <sheetView workbookViewId="0">
      <selection activeCell="F26" sqref="F26"/>
    </sheetView>
  </sheetViews>
  <sheetFormatPr defaultColWidth="9.140625" defaultRowHeight="15" x14ac:dyDescent="0.25"/>
  <cols>
    <col min="1" max="1" width="9.7109375" style="23" bestFit="1" customWidth="1"/>
    <col min="2" max="2" width="11.140625" style="23" customWidth="1"/>
    <col min="3" max="3" width="9.140625" style="23"/>
    <col min="4" max="4" width="14.28515625" style="23" customWidth="1"/>
    <col min="5" max="5" width="10.140625" style="23" customWidth="1"/>
    <col min="6" max="6" width="12" style="23" customWidth="1"/>
    <col min="7" max="16384" width="9.140625" style="23"/>
  </cols>
  <sheetData>
    <row r="2" spans="1:6" x14ac:dyDescent="0.25">
      <c r="A2" s="23" t="s">
        <v>31</v>
      </c>
    </row>
    <row r="3" spans="1:6" ht="47.25" customHeight="1" x14ac:dyDescent="0.25">
      <c r="B3" s="29" t="s">
        <v>32</v>
      </c>
      <c r="C3" s="23" t="s">
        <v>2</v>
      </c>
      <c r="D3" s="29" t="s">
        <v>33</v>
      </c>
      <c r="E3" s="29" t="s">
        <v>35</v>
      </c>
      <c r="F3" s="29" t="s">
        <v>36</v>
      </c>
    </row>
    <row r="4" spans="1:6" hidden="1" x14ac:dyDescent="0.25">
      <c r="A4" s="24">
        <v>40878</v>
      </c>
      <c r="B4" s="25">
        <f t="shared" ref="B4:B14" si="0">F4/E4</f>
        <v>0.82999999999999985</v>
      </c>
      <c r="C4" s="26">
        <v>0.9</v>
      </c>
      <c r="D4" s="26">
        <f>1-B4</f>
        <v>0.17000000000000015</v>
      </c>
      <c r="E4" s="30">
        <v>40</v>
      </c>
      <c r="F4" s="31">
        <f>E4*0.83</f>
        <v>33.199999999999996</v>
      </c>
    </row>
    <row r="5" spans="1:6" hidden="1" x14ac:dyDescent="0.25">
      <c r="A5" s="24">
        <v>40909</v>
      </c>
      <c r="B5" s="25">
        <f t="shared" si="0"/>
        <v>0.75555555555555554</v>
      </c>
      <c r="C5" s="26">
        <v>0.9</v>
      </c>
      <c r="D5" s="26">
        <f>1-B5</f>
        <v>0.24444444444444446</v>
      </c>
      <c r="E5" s="31">
        <v>45</v>
      </c>
      <c r="F5" s="31">
        <v>34</v>
      </c>
    </row>
    <row r="6" spans="1:6" hidden="1" x14ac:dyDescent="0.25">
      <c r="A6" s="24">
        <v>40940</v>
      </c>
      <c r="B6" s="25">
        <f t="shared" si="0"/>
        <v>0.93846153846153846</v>
      </c>
      <c r="C6" s="26">
        <v>0.9</v>
      </c>
      <c r="D6" s="26">
        <f t="shared" ref="D6:D14" si="1">1-B6</f>
        <v>6.1538461538461542E-2</v>
      </c>
      <c r="E6" s="31">
        <f>75+41+14</f>
        <v>130</v>
      </c>
      <c r="F6" s="31">
        <f>14+35+73</f>
        <v>122</v>
      </c>
    </row>
    <row r="7" spans="1:6" hidden="1" x14ac:dyDescent="0.25">
      <c r="A7" s="24">
        <v>40969</v>
      </c>
      <c r="B7" s="25">
        <f t="shared" si="0"/>
        <v>0.88524590163934425</v>
      </c>
      <c r="C7" s="26">
        <v>0.9</v>
      </c>
      <c r="D7" s="26">
        <f t="shared" si="1"/>
        <v>0.11475409836065575</v>
      </c>
      <c r="E7" s="31">
        <f>61+43+18</f>
        <v>122</v>
      </c>
      <c r="F7" s="31">
        <f>122-14</f>
        <v>108</v>
      </c>
    </row>
    <row r="8" spans="1:6" hidden="1" x14ac:dyDescent="0.25">
      <c r="A8" s="24">
        <v>41000</v>
      </c>
      <c r="B8" s="25">
        <f t="shared" si="0"/>
        <v>0.97222222222222221</v>
      </c>
      <c r="C8" s="26">
        <v>0.9</v>
      </c>
      <c r="D8" s="26">
        <f t="shared" si="1"/>
        <v>2.777777777777779E-2</v>
      </c>
      <c r="E8" s="31">
        <f>11+14+47</f>
        <v>72</v>
      </c>
      <c r="F8" s="31">
        <v>70</v>
      </c>
    </row>
    <row r="9" spans="1:6" hidden="1" x14ac:dyDescent="0.25">
      <c r="A9" s="24">
        <v>41030</v>
      </c>
      <c r="B9" s="25">
        <f t="shared" si="0"/>
        <v>0.66666666666666663</v>
      </c>
      <c r="C9" s="26">
        <v>0.9</v>
      </c>
      <c r="D9" s="26">
        <f t="shared" si="1"/>
        <v>0.33333333333333337</v>
      </c>
      <c r="E9" s="31">
        <f>16+50+69</f>
        <v>135</v>
      </c>
      <c r="F9" s="31">
        <f>66+24</f>
        <v>90</v>
      </c>
    </row>
    <row r="10" spans="1:6" hidden="1" x14ac:dyDescent="0.25">
      <c r="A10" s="24">
        <v>41061</v>
      </c>
      <c r="B10" s="25">
        <f t="shared" si="0"/>
        <v>0.8910891089108911</v>
      </c>
      <c r="C10" s="26">
        <v>0.9</v>
      </c>
      <c r="D10" s="26">
        <f t="shared" si="1"/>
        <v>0.1089108910891089</v>
      </c>
      <c r="E10" s="31">
        <f>69+19+13</f>
        <v>101</v>
      </c>
      <c r="F10" s="31">
        <f>101-11</f>
        <v>90</v>
      </c>
    </row>
    <row r="11" spans="1:6" hidden="1" x14ac:dyDescent="0.25">
      <c r="A11" s="24">
        <v>41091</v>
      </c>
      <c r="B11" s="25">
        <f t="shared" si="0"/>
        <v>0.94736842105263153</v>
      </c>
      <c r="C11" s="26">
        <v>0.9</v>
      </c>
      <c r="D11" s="26">
        <f t="shared" si="1"/>
        <v>5.2631578947368474E-2</v>
      </c>
      <c r="E11" s="31">
        <f>68+31+15</f>
        <v>114</v>
      </c>
      <c r="F11" s="31">
        <f>114-6</f>
        <v>108</v>
      </c>
    </row>
    <row r="12" spans="1:6" hidden="1" x14ac:dyDescent="0.25">
      <c r="A12" s="24">
        <v>41122</v>
      </c>
      <c r="B12" s="25">
        <f t="shared" si="0"/>
        <v>0.74576271186440679</v>
      </c>
      <c r="C12" s="26">
        <v>0.9</v>
      </c>
      <c r="D12" s="26">
        <f t="shared" si="1"/>
        <v>0.25423728813559321</v>
      </c>
      <c r="E12" s="31">
        <v>177</v>
      </c>
      <c r="F12" s="31">
        <f>177-45</f>
        <v>132</v>
      </c>
    </row>
    <row r="13" spans="1:6" hidden="1" x14ac:dyDescent="0.25">
      <c r="A13" s="24">
        <v>41153</v>
      </c>
      <c r="B13" s="25">
        <f t="shared" si="0"/>
        <v>0.88</v>
      </c>
      <c r="C13" s="26">
        <v>0.9</v>
      </c>
      <c r="D13" s="26">
        <f t="shared" si="1"/>
        <v>0.12</v>
      </c>
      <c r="E13" s="31">
        <v>50</v>
      </c>
      <c r="F13" s="31">
        <f>50-6</f>
        <v>44</v>
      </c>
    </row>
    <row r="14" spans="1:6" hidden="1" x14ac:dyDescent="0.25">
      <c r="A14" s="24">
        <v>41183</v>
      </c>
      <c r="B14" s="25">
        <f t="shared" si="0"/>
        <v>0.91538461538461535</v>
      </c>
      <c r="C14" s="26">
        <v>0.9</v>
      </c>
      <c r="D14" s="26">
        <f t="shared" si="1"/>
        <v>8.4615384615384648E-2</v>
      </c>
      <c r="E14" s="31">
        <v>260</v>
      </c>
      <c r="F14" s="31">
        <f>260-22</f>
        <v>238</v>
      </c>
    </row>
    <row r="15" spans="1:6" hidden="1" x14ac:dyDescent="0.25">
      <c r="A15" s="24">
        <v>41214</v>
      </c>
      <c r="B15" s="25">
        <f>F15/E15</f>
        <v>0.83898305084745761</v>
      </c>
      <c r="C15" s="26">
        <v>0.9</v>
      </c>
      <c r="D15" s="26">
        <f>1-B15</f>
        <v>0.16101694915254239</v>
      </c>
      <c r="E15" s="23">
        <f>96+96+44</f>
        <v>236</v>
      </c>
      <c r="F15" s="23">
        <f>236-2-4-32</f>
        <v>198</v>
      </c>
    </row>
    <row r="16" spans="1:6" x14ac:dyDescent="0.25">
      <c r="A16" s="24">
        <v>41244</v>
      </c>
      <c r="B16" s="25">
        <f>F16/E16</f>
        <v>0.9662921348314607</v>
      </c>
      <c r="C16" s="26">
        <v>0.9</v>
      </c>
      <c r="D16" s="26">
        <f>1-B16</f>
        <v>3.3707865168539297E-2</v>
      </c>
      <c r="E16" s="40">
        <f>49+84+45</f>
        <v>178</v>
      </c>
      <c r="F16" s="23">
        <v>172</v>
      </c>
    </row>
    <row r="17" spans="1:6" x14ac:dyDescent="0.25">
      <c r="A17" s="24">
        <v>41275</v>
      </c>
      <c r="B17" s="25">
        <f t="shared" ref="B17:B25" si="2">F17/E17</f>
        <v>0.97637795275590555</v>
      </c>
      <c r="C17" s="26">
        <v>0.9</v>
      </c>
      <c r="D17" s="26">
        <f t="shared" ref="D17:D25" si="3">1-B17</f>
        <v>2.3622047244094446E-2</v>
      </c>
      <c r="E17" s="40">
        <v>127</v>
      </c>
      <c r="F17" s="23">
        <v>124</v>
      </c>
    </row>
    <row r="18" spans="1:6" x14ac:dyDescent="0.25">
      <c r="A18" s="24">
        <v>41306</v>
      </c>
      <c r="B18" s="144">
        <f t="shared" si="2"/>
        <v>0.77222222222222225</v>
      </c>
      <c r="C18" s="26">
        <v>0.9</v>
      </c>
      <c r="D18" s="145">
        <f t="shared" si="3"/>
        <v>0.22777777777777775</v>
      </c>
      <c r="E18" s="143">
        <v>180</v>
      </c>
      <c r="F18" s="143">
        <v>139</v>
      </c>
    </row>
    <row r="19" spans="1:6" x14ac:dyDescent="0.25">
      <c r="A19" s="24">
        <v>41334</v>
      </c>
      <c r="B19" s="144">
        <f t="shared" si="2"/>
        <v>0.64661654135338342</v>
      </c>
      <c r="C19" s="26">
        <v>0.9</v>
      </c>
      <c r="D19" s="145">
        <f t="shared" si="3"/>
        <v>0.35338345864661658</v>
      </c>
      <c r="E19" s="143">
        <v>133</v>
      </c>
      <c r="F19" s="143">
        <v>86</v>
      </c>
    </row>
    <row r="20" spans="1:6" x14ac:dyDescent="0.25">
      <c r="A20" s="24">
        <v>41365</v>
      </c>
      <c r="B20" s="144">
        <f t="shared" si="2"/>
        <v>0.57396449704142016</v>
      </c>
      <c r="C20" s="26">
        <v>0.9</v>
      </c>
      <c r="D20" s="145">
        <f t="shared" si="3"/>
        <v>0.42603550295857984</v>
      </c>
      <c r="E20" s="143">
        <v>169</v>
      </c>
      <c r="F20" s="143">
        <v>97</v>
      </c>
    </row>
    <row r="21" spans="1:6" x14ac:dyDescent="0.25">
      <c r="A21" s="24">
        <v>41395</v>
      </c>
      <c r="B21" s="144">
        <f t="shared" si="2"/>
        <v>0.89570552147239269</v>
      </c>
      <c r="C21" s="145">
        <v>0.9</v>
      </c>
      <c r="D21" s="145">
        <f t="shared" si="3"/>
        <v>0.10429447852760731</v>
      </c>
      <c r="E21" s="23">
        <f>63+71+29</f>
        <v>163</v>
      </c>
      <c r="F21" s="23">
        <f>163-3-9-5</f>
        <v>146</v>
      </c>
    </row>
    <row r="22" spans="1:6" x14ac:dyDescent="0.25">
      <c r="A22" s="24">
        <v>41426</v>
      </c>
      <c r="B22" s="144">
        <f t="shared" si="2"/>
        <v>0.8828125</v>
      </c>
      <c r="C22" s="145">
        <v>0.9</v>
      </c>
      <c r="D22" s="145">
        <f t="shared" si="3"/>
        <v>0.1171875</v>
      </c>
      <c r="E22" s="23">
        <f>14+43+71</f>
        <v>128</v>
      </c>
      <c r="F22" s="23">
        <f>128-15</f>
        <v>113</v>
      </c>
    </row>
    <row r="23" spans="1:6" x14ac:dyDescent="0.25">
      <c r="A23" s="24">
        <v>41456</v>
      </c>
      <c r="B23" s="144">
        <f t="shared" si="2"/>
        <v>0.77027027027027029</v>
      </c>
      <c r="C23" s="145">
        <v>0.9</v>
      </c>
      <c r="D23" s="145">
        <f t="shared" si="3"/>
        <v>0.22972972972972971</v>
      </c>
      <c r="E23" s="23">
        <f>78+32+38</f>
        <v>148</v>
      </c>
      <c r="F23" s="23">
        <f>148-27-1-6</f>
        <v>114</v>
      </c>
    </row>
    <row r="24" spans="1:6" x14ac:dyDescent="0.25">
      <c r="A24" s="24">
        <v>41487</v>
      </c>
      <c r="B24" s="144">
        <f t="shared" si="2"/>
        <v>0.69426751592356684</v>
      </c>
      <c r="C24" s="145">
        <v>0.9</v>
      </c>
      <c r="D24" s="145">
        <f t="shared" si="3"/>
        <v>0.30573248407643316</v>
      </c>
      <c r="E24" s="143">
        <f>87+53+17</f>
        <v>157</v>
      </c>
      <c r="F24" s="143">
        <f>157-28-14-6</f>
        <v>109</v>
      </c>
    </row>
    <row r="25" spans="1:6" x14ac:dyDescent="0.25">
      <c r="A25" s="24">
        <v>41518</v>
      </c>
      <c r="B25" s="144">
        <f t="shared" si="2"/>
        <v>0.66666666666666663</v>
      </c>
      <c r="C25" s="145">
        <v>0.9</v>
      </c>
      <c r="D25" s="145">
        <f t="shared" si="3"/>
        <v>0.33333333333333337</v>
      </c>
      <c r="E25" s="143">
        <f>46+12+11</f>
        <v>69</v>
      </c>
      <c r="F25" s="143">
        <f>69-16-1-6</f>
        <v>46</v>
      </c>
    </row>
    <row r="26" spans="1:6" x14ac:dyDescent="0.25">
      <c r="A26" s="24">
        <v>41548</v>
      </c>
      <c r="B26" s="144">
        <f t="shared" ref="B26:B42" si="4">F26/E26</f>
        <v>0.64814814814814814</v>
      </c>
      <c r="C26" s="145">
        <v>0.9</v>
      </c>
      <c r="D26" s="145">
        <f t="shared" ref="D26:D42" si="5">1-B26</f>
        <v>0.35185185185185186</v>
      </c>
      <c r="E26" s="143">
        <v>162</v>
      </c>
      <c r="F26" s="143">
        <f>162-57</f>
        <v>105</v>
      </c>
    </row>
    <row r="27" spans="1:6" x14ac:dyDescent="0.25">
      <c r="A27" s="24">
        <v>41579</v>
      </c>
      <c r="B27" s="144">
        <f t="shared" si="4"/>
        <v>0.85555555555555551</v>
      </c>
      <c r="C27" s="145">
        <v>0.9</v>
      </c>
      <c r="D27" s="145">
        <f t="shared" si="5"/>
        <v>0.14444444444444449</v>
      </c>
      <c r="E27" s="143">
        <f>90</f>
        <v>90</v>
      </c>
      <c r="F27" s="143">
        <f>90-13</f>
        <v>77</v>
      </c>
    </row>
    <row r="28" spans="1:6" s="143" customFormat="1" x14ac:dyDescent="0.25">
      <c r="A28" s="24">
        <v>41609</v>
      </c>
      <c r="B28" s="144">
        <f t="shared" si="4"/>
        <v>0.68484848484848482</v>
      </c>
      <c r="C28" s="145">
        <v>0.9</v>
      </c>
      <c r="D28" s="145">
        <f t="shared" si="5"/>
        <v>0.31515151515151518</v>
      </c>
      <c r="E28" s="143">
        <v>165</v>
      </c>
      <c r="F28" s="143">
        <f>165-52</f>
        <v>113</v>
      </c>
    </row>
    <row r="29" spans="1:6" s="143" customFormat="1" x14ac:dyDescent="0.25">
      <c r="A29" s="24">
        <v>41640</v>
      </c>
      <c r="B29" s="144">
        <f t="shared" si="4"/>
        <v>0.72268907563025209</v>
      </c>
      <c r="C29" s="145">
        <v>0.9</v>
      </c>
      <c r="D29" s="145">
        <f t="shared" si="5"/>
        <v>0.27731092436974791</v>
      </c>
      <c r="E29" s="143">
        <f>17+41+61</f>
        <v>119</v>
      </c>
      <c r="F29" s="143">
        <f>119-21-1-11</f>
        <v>86</v>
      </c>
    </row>
    <row r="30" spans="1:6" s="143" customFormat="1" x14ac:dyDescent="0.25">
      <c r="A30" s="24">
        <v>41671</v>
      </c>
      <c r="B30" s="144">
        <f t="shared" si="4"/>
        <v>0.967741935483871</v>
      </c>
      <c r="C30" s="145">
        <v>0.9</v>
      </c>
      <c r="D30" s="145">
        <f t="shared" si="5"/>
        <v>3.2258064516129004E-2</v>
      </c>
      <c r="E30" s="143">
        <v>217</v>
      </c>
      <c r="F30" s="143">
        <f>217-7</f>
        <v>210</v>
      </c>
    </row>
    <row r="31" spans="1:6" s="143" customFormat="1" x14ac:dyDescent="0.25">
      <c r="A31" s="24">
        <v>41699</v>
      </c>
      <c r="B31" s="144">
        <f t="shared" si="4"/>
        <v>0.82914572864321612</v>
      </c>
      <c r="C31" s="145">
        <v>0.9</v>
      </c>
      <c r="D31" s="145">
        <f t="shared" si="5"/>
        <v>0.17085427135678388</v>
      </c>
      <c r="E31" s="143">
        <f>108+65+26</f>
        <v>199</v>
      </c>
      <c r="F31" s="143">
        <f>199-26-8</f>
        <v>165</v>
      </c>
    </row>
    <row r="32" spans="1:6" s="143" customFormat="1" x14ac:dyDescent="0.25">
      <c r="A32" s="24">
        <v>41730</v>
      </c>
      <c r="B32" s="144">
        <f t="shared" si="4"/>
        <v>0.91719745222929938</v>
      </c>
      <c r="C32" s="145">
        <v>0.9</v>
      </c>
      <c r="D32" s="145">
        <f t="shared" si="5"/>
        <v>8.2802547770700619E-2</v>
      </c>
      <c r="E32" s="143">
        <f>66+19+72</f>
        <v>157</v>
      </c>
      <c r="F32" s="143">
        <f>157-9-2-2</f>
        <v>144</v>
      </c>
    </row>
    <row r="33" spans="1:6" s="143" customFormat="1" x14ac:dyDescent="0.25">
      <c r="A33" s="24">
        <v>41760</v>
      </c>
      <c r="B33" s="144">
        <f t="shared" si="4"/>
        <v>0.87619047619047619</v>
      </c>
      <c r="C33" s="145">
        <v>0.9</v>
      </c>
      <c r="D33" s="145">
        <f t="shared" si="5"/>
        <v>0.12380952380952381</v>
      </c>
      <c r="E33" s="143">
        <f>16+82+112</f>
        <v>210</v>
      </c>
      <c r="F33" s="143">
        <f>210-26</f>
        <v>184</v>
      </c>
    </row>
    <row r="34" spans="1:6" s="143" customFormat="1" x14ac:dyDescent="0.25">
      <c r="A34" s="24">
        <v>41791</v>
      </c>
      <c r="B34" s="144">
        <f t="shared" si="4"/>
        <v>0.87128712871287128</v>
      </c>
      <c r="C34" s="145">
        <v>0.9</v>
      </c>
      <c r="D34" s="145">
        <f t="shared" si="5"/>
        <v>0.12871287128712872</v>
      </c>
      <c r="E34" s="143">
        <f>18+96+88</f>
        <v>202</v>
      </c>
      <c r="F34" s="143">
        <f>202-26</f>
        <v>176</v>
      </c>
    </row>
    <row r="35" spans="1:6" x14ac:dyDescent="0.25">
      <c r="A35" s="24">
        <v>41821</v>
      </c>
      <c r="B35" s="144">
        <f t="shared" si="4"/>
        <v>0.88059701492537312</v>
      </c>
      <c r="C35" s="145">
        <v>0.9</v>
      </c>
      <c r="D35" s="145">
        <f t="shared" si="5"/>
        <v>0.11940298507462688</v>
      </c>
      <c r="E35" s="23">
        <v>201</v>
      </c>
      <c r="F35" s="23">
        <f>201-24</f>
        <v>177</v>
      </c>
    </row>
    <row r="36" spans="1:6" s="143" customFormat="1" x14ac:dyDescent="0.25">
      <c r="A36" s="24">
        <v>41852</v>
      </c>
      <c r="B36" s="144">
        <f t="shared" si="4"/>
        <v>0.81499999999999995</v>
      </c>
      <c r="C36" s="145">
        <v>0.9</v>
      </c>
      <c r="D36" s="145">
        <f t="shared" si="5"/>
        <v>0.18500000000000005</v>
      </c>
      <c r="E36" s="143">
        <v>200</v>
      </c>
      <c r="F36" s="143">
        <v>163</v>
      </c>
    </row>
    <row r="37" spans="1:6" s="143" customFormat="1" x14ac:dyDescent="0.25">
      <c r="A37" s="24">
        <v>41883</v>
      </c>
      <c r="B37" s="144">
        <f t="shared" si="4"/>
        <v>0.76666666666666672</v>
      </c>
      <c r="C37" s="145">
        <v>0.9</v>
      </c>
      <c r="D37" s="145">
        <f t="shared" si="5"/>
        <v>0.23333333333333328</v>
      </c>
      <c r="E37" s="143">
        <f>27+19+74</f>
        <v>120</v>
      </c>
      <c r="F37" s="143">
        <f>120-2-5-21</f>
        <v>92</v>
      </c>
    </row>
    <row r="38" spans="1:6" s="143" customFormat="1" x14ac:dyDescent="0.25">
      <c r="A38" s="24">
        <v>41913</v>
      </c>
      <c r="B38" s="144">
        <f t="shared" si="4"/>
        <v>0.76666666666666672</v>
      </c>
      <c r="C38" s="145">
        <v>0.9</v>
      </c>
      <c r="D38" s="145">
        <f t="shared" si="5"/>
        <v>0.23333333333333328</v>
      </c>
      <c r="E38" s="143">
        <f>27+19+74</f>
        <v>120</v>
      </c>
      <c r="F38" s="143">
        <f>120-2-5-21</f>
        <v>92</v>
      </c>
    </row>
    <row r="39" spans="1:6" s="143" customFormat="1" x14ac:dyDescent="0.25">
      <c r="A39" s="24">
        <v>41944</v>
      </c>
      <c r="B39" s="144">
        <f t="shared" si="4"/>
        <v>0.82352941176470584</v>
      </c>
      <c r="C39" s="145">
        <v>0.9</v>
      </c>
      <c r="D39" s="145">
        <f t="shared" si="5"/>
        <v>0.17647058823529416</v>
      </c>
      <c r="E39" s="143">
        <f>58+36+8</f>
        <v>102</v>
      </c>
      <c r="F39" s="143">
        <f>102-18</f>
        <v>84</v>
      </c>
    </row>
    <row r="40" spans="1:6" s="143" customFormat="1" x14ac:dyDescent="0.25">
      <c r="A40" s="24">
        <v>41974</v>
      </c>
      <c r="B40" s="144">
        <f t="shared" si="4"/>
        <v>0.55555555555555558</v>
      </c>
      <c r="C40" s="145">
        <v>0.9</v>
      </c>
      <c r="D40" s="145">
        <f t="shared" si="5"/>
        <v>0.44444444444444442</v>
      </c>
      <c r="E40" s="143">
        <v>117</v>
      </c>
      <c r="F40" s="143">
        <v>65</v>
      </c>
    </row>
    <row r="41" spans="1:6" s="143" customFormat="1" x14ac:dyDescent="0.25">
      <c r="A41" s="24">
        <v>42005</v>
      </c>
      <c r="B41" s="144">
        <f t="shared" si="4"/>
        <v>0.74814814814814812</v>
      </c>
      <c r="C41" s="145">
        <v>0.9</v>
      </c>
      <c r="D41" s="145">
        <f t="shared" si="5"/>
        <v>0.25185185185185188</v>
      </c>
      <c r="E41" s="143">
        <v>135</v>
      </c>
      <c r="F41" s="143">
        <f>135-34</f>
        <v>101</v>
      </c>
    </row>
    <row r="42" spans="1:6" s="143" customFormat="1" x14ac:dyDescent="0.25">
      <c r="A42" s="24">
        <v>42036</v>
      </c>
      <c r="B42" s="144">
        <f t="shared" si="4"/>
        <v>0.81818181818181823</v>
      </c>
      <c r="C42" s="145">
        <v>0.9</v>
      </c>
      <c r="D42" s="145">
        <f t="shared" si="5"/>
        <v>0.18181818181818177</v>
      </c>
      <c r="E42" s="143">
        <v>66</v>
      </c>
      <c r="F42" s="143">
        <f>66-12</f>
        <v>54</v>
      </c>
    </row>
    <row r="43" spans="1:6" s="143" customFormat="1" x14ac:dyDescent="0.25">
      <c r="A43" s="24">
        <v>42064</v>
      </c>
      <c r="B43" s="144">
        <v>0.67</v>
      </c>
      <c r="C43" s="145">
        <v>0.9</v>
      </c>
      <c r="D43" s="145">
        <v>0.33</v>
      </c>
      <c r="E43" s="251">
        <v>92</v>
      </c>
      <c r="F43" s="251">
        <v>62</v>
      </c>
    </row>
    <row r="44" spans="1:6" s="143" customFormat="1" x14ac:dyDescent="0.25">
      <c r="A44" s="24">
        <v>42095</v>
      </c>
      <c r="B44" s="144">
        <v>0.52</v>
      </c>
      <c r="C44" s="145">
        <v>0.9</v>
      </c>
      <c r="D44" s="145">
        <v>0.48</v>
      </c>
      <c r="E44" s="251">
        <v>63</v>
      </c>
      <c r="F44" s="251">
        <v>33</v>
      </c>
    </row>
    <row r="45" spans="1:6" s="143" customFormat="1" x14ac:dyDescent="0.25">
      <c r="A45" s="24">
        <v>42125</v>
      </c>
      <c r="B45" s="144">
        <v>0.45</v>
      </c>
      <c r="C45" s="145">
        <v>0.9</v>
      </c>
      <c r="D45" s="145">
        <v>0.55000000000000004</v>
      </c>
      <c r="E45" s="251">
        <v>75</v>
      </c>
      <c r="F45" s="251">
        <v>34</v>
      </c>
    </row>
    <row r="46" spans="1:6" s="143" customFormat="1" x14ac:dyDescent="0.25">
      <c r="A46" s="24">
        <v>42156</v>
      </c>
      <c r="B46" s="144">
        <v>0.72</v>
      </c>
      <c r="C46" s="145">
        <v>0.9</v>
      </c>
      <c r="D46" s="145">
        <v>0.28000000000000003</v>
      </c>
      <c r="E46" s="251">
        <v>101</v>
      </c>
      <c r="F46" s="251">
        <v>73</v>
      </c>
    </row>
    <row r="47" spans="1:6" s="143" customFormat="1" x14ac:dyDescent="0.25">
      <c r="A47" s="24">
        <v>42186</v>
      </c>
      <c r="B47" s="144">
        <v>0.43</v>
      </c>
      <c r="C47" s="145">
        <v>0.9</v>
      </c>
      <c r="D47" s="145">
        <v>0.56999999999999995</v>
      </c>
      <c r="E47" s="251">
        <v>65</v>
      </c>
      <c r="F47" s="251">
        <v>28</v>
      </c>
    </row>
    <row r="48" spans="1:6" s="143" customFormat="1" x14ac:dyDescent="0.25">
      <c r="A48" s="24">
        <v>42217</v>
      </c>
      <c r="B48" s="144">
        <v>0.62</v>
      </c>
      <c r="C48" s="145">
        <v>0.9</v>
      </c>
      <c r="D48" s="145">
        <v>0.38</v>
      </c>
      <c r="E48" s="251">
        <v>65</v>
      </c>
      <c r="F48" s="251">
        <v>40</v>
      </c>
    </row>
    <row r="49" spans="1:6" s="143" customFormat="1" x14ac:dyDescent="0.25">
      <c r="A49" s="24">
        <v>42248</v>
      </c>
      <c r="B49" s="144">
        <v>0.44</v>
      </c>
      <c r="C49" s="145">
        <v>0.9</v>
      </c>
      <c r="D49" s="145">
        <v>0.56000000000000005</v>
      </c>
      <c r="E49" s="251">
        <v>57</v>
      </c>
      <c r="F49" s="251">
        <v>25</v>
      </c>
    </row>
    <row r="50" spans="1:6" s="143" customFormat="1" x14ac:dyDescent="0.25">
      <c r="A50" s="24">
        <v>42278</v>
      </c>
      <c r="B50" s="144">
        <v>0.21</v>
      </c>
      <c r="C50" s="145">
        <v>0.9</v>
      </c>
      <c r="D50" s="145">
        <v>0.79</v>
      </c>
      <c r="E50" s="251">
        <v>58</v>
      </c>
      <c r="F50" s="251">
        <v>12</v>
      </c>
    </row>
    <row r="51" spans="1:6" s="143" customFormat="1" x14ac:dyDescent="0.25">
      <c r="A51" s="24">
        <v>42309</v>
      </c>
      <c r="B51" s="144">
        <v>0.34</v>
      </c>
      <c r="C51" s="145">
        <v>0.9</v>
      </c>
      <c r="D51" s="145">
        <v>0.66</v>
      </c>
      <c r="E51" s="251">
        <v>38</v>
      </c>
      <c r="F51" s="251">
        <v>13</v>
      </c>
    </row>
    <row r="52" spans="1:6" s="143" customFormat="1" x14ac:dyDescent="0.25">
      <c r="A52" s="24">
        <v>42339</v>
      </c>
      <c r="B52" s="144">
        <v>0.37</v>
      </c>
      <c r="C52" s="145">
        <v>0.9</v>
      </c>
      <c r="D52" s="145">
        <v>0.63</v>
      </c>
      <c r="E52" s="251">
        <v>41</v>
      </c>
      <c r="F52" s="251">
        <v>15</v>
      </c>
    </row>
    <row r="53" spans="1:6" s="143" customFormat="1" x14ac:dyDescent="0.25">
      <c r="A53" s="24">
        <v>42370</v>
      </c>
      <c r="B53" s="144">
        <v>0.64</v>
      </c>
      <c r="C53" s="145">
        <v>0.9</v>
      </c>
      <c r="D53" s="145">
        <v>0.36</v>
      </c>
      <c r="E53" s="251">
        <v>47</v>
      </c>
      <c r="F53" s="251">
        <v>30</v>
      </c>
    </row>
    <row r="54" spans="1:6" s="143" customFormat="1" x14ac:dyDescent="0.25">
      <c r="A54" s="24"/>
      <c r="B54" s="144"/>
      <c r="C54" s="145"/>
      <c r="D54" s="145"/>
    </row>
    <row r="55" spans="1:6" x14ac:dyDescent="0.25">
      <c r="A55" s="23" t="s">
        <v>34</v>
      </c>
    </row>
    <row r="56" spans="1:6" ht="51.75" customHeight="1" x14ac:dyDescent="0.25">
      <c r="B56" s="29" t="s">
        <v>32</v>
      </c>
      <c r="C56" s="23" t="s">
        <v>2</v>
      </c>
      <c r="D56" s="29" t="s">
        <v>37</v>
      </c>
      <c r="E56" s="29" t="s">
        <v>35</v>
      </c>
      <c r="F56" s="29" t="s">
        <v>36</v>
      </c>
    </row>
    <row r="57" spans="1:6" x14ac:dyDescent="0.25">
      <c r="A57" s="24">
        <v>40940</v>
      </c>
      <c r="B57" s="25">
        <f>1-D57</f>
        <v>1</v>
      </c>
      <c r="C57" s="26">
        <v>0.9</v>
      </c>
      <c r="D57" s="41">
        <f>(E57-F57)/E57</f>
        <v>0</v>
      </c>
      <c r="E57" s="40">
        <f>76+386+53</f>
        <v>515</v>
      </c>
      <c r="F57" s="42">
        <v>515</v>
      </c>
    </row>
    <row r="58" spans="1:6" x14ac:dyDescent="0.25">
      <c r="A58" s="24">
        <v>40969</v>
      </c>
      <c r="B58" s="25">
        <f>1-D58</f>
        <v>0.99527559055118109</v>
      </c>
      <c r="C58" s="26">
        <v>0.9</v>
      </c>
      <c r="D58" s="41">
        <f>(E58-F58)/E58</f>
        <v>4.7244094488188976E-3</v>
      </c>
      <c r="E58" s="42">
        <v>635</v>
      </c>
      <c r="F58" s="40">
        <v>632</v>
      </c>
    </row>
    <row r="59" spans="1:6" x14ac:dyDescent="0.25">
      <c r="A59" s="24">
        <v>41000</v>
      </c>
      <c r="B59" s="25">
        <f>1-D59</f>
        <v>1</v>
      </c>
      <c r="C59" s="26">
        <v>0.9</v>
      </c>
      <c r="D59" s="41">
        <f>(E59-F59)/E59</f>
        <v>0</v>
      </c>
      <c r="E59" s="40">
        <f>71+544+76</f>
        <v>691</v>
      </c>
      <c r="F59" s="40">
        <v>691</v>
      </c>
    </row>
    <row r="60" spans="1:6" x14ac:dyDescent="0.25">
      <c r="A60" s="24">
        <v>41030</v>
      </c>
      <c r="B60" s="25">
        <f t="shared" ref="B60:B67" si="6">1-D60</f>
        <v>1</v>
      </c>
      <c r="C60" s="26">
        <v>0.9</v>
      </c>
      <c r="D60" s="41">
        <f>(E60-F60)/E60</f>
        <v>0</v>
      </c>
      <c r="E60" s="40">
        <f>69+591+99</f>
        <v>759</v>
      </c>
      <c r="F60" s="40">
        <v>759</v>
      </c>
    </row>
    <row r="61" spans="1:6" x14ac:dyDescent="0.25">
      <c r="A61" s="24">
        <v>41061</v>
      </c>
      <c r="B61" s="25">
        <f t="shared" si="6"/>
        <v>1</v>
      </c>
      <c r="C61" s="26">
        <v>0.9</v>
      </c>
      <c r="D61" s="41">
        <f t="shared" ref="D61:D66" si="7">(E61-F61)/E61</f>
        <v>0</v>
      </c>
      <c r="E61" s="40">
        <f>75+495+79</f>
        <v>649</v>
      </c>
      <c r="F61" s="40">
        <v>649</v>
      </c>
    </row>
    <row r="62" spans="1:6" x14ac:dyDescent="0.25">
      <c r="A62" s="24">
        <v>41091</v>
      </c>
      <c r="B62" s="25">
        <f t="shared" si="6"/>
        <v>0.99275362318840576</v>
      </c>
      <c r="C62" s="26">
        <v>0.9</v>
      </c>
      <c r="D62" s="41">
        <f t="shared" si="7"/>
        <v>7.246376811594203E-3</v>
      </c>
      <c r="E62" s="40">
        <v>690</v>
      </c>
      <c r="F62" s="40">
        <f>E62-5</f>
        <v>685</v>
      </c>
    </row>
    <row r="63" spans="1:6" x14ac:dyDescent="0.25">
      <c r="A63" s="24">
        <v>41122</v>
      </c>
      <c r="B63" s="25">
        <f t="shared" si="6"/>
        <v>0.98024316109422494</v>
      </c>
      <c r="C63" s="26">
        <v>0.9</v>
      </c>
      <c r="D63" s="41">
        <f t="shared" si="7"/>
        <v>1.9756838905775075E-2</v>
      </c>
      <c r="E63" s="40">
        <f>69+549+40</f>
        <v>658</v>
      </c>
      <c r="F63" s="40">
        <f>E63-13</f>
        <v>645</v>
      </c>
    </row>
    <row r="64" spans="1:6" x14ac:dyDescent="0.25">
      <c r="A64" s="24">
        <v>41153</v>
      </c>
      <c r="B64" s="25">
        <f t="shared" si="6"/>
        <v>0.98958333333333337</v>
      </c>
      <c r="C64" s="26">
        <v>0.9</v>
      </c>
      <c r="D64" s="41">
        <f t="shared" si="7"/>
        <v>1.0416666666666666E-2</v>
      </c>
      <c r="E64" s="40">
        <f>100+308+72</f>
        <v>480</v>
      </c>
      <c r="F64" s="40">
        <f>E64-5</f>
        <v>475</v>
      </c>
    </row>
    <row r="65" spans="1:6" x14ac:dyDescent="0.25">
      <c r="A65" s="24">
        <v>41183</v>
      </c>
      <c r="B65" s="25">
        <f t="shared" si="6"/>
        <v>0.99765258215962438</v>
      </c>
      <c r="C65" s="26">
        <v>0.9</v>
      </c>
      <c r="D65" s="41">
        <f t="shared" si="7"/>
        <v>2.3474178403755869E-3</v>
      </c>
      <c r="E65" s="40">
        <f>135+234+57</f>
        <v>426</v>
      </c>
      <c r="F65" s="40">
        <v>425</v>
      </c>
    </row>
    <row r="66" spans="1:6" x14ac:dyDescent="0.25">
      <c r="A66" s="24">
        <v>41214</v>
      </c>
      <c r="B66" s="25">
        <f t="shared" si="6"/>
        <v>0.98397435897435903</v>
      </c>
      <c r="C66" s="26">
        <v>0.9</v>
      </c>
      <c r="D66" s="41">
        <f t="shared" si="7"/>
        <v>1.6025641025641024E-2</v>
      </c>
      <c r="E66" s="40">
        <f>105+476+43</f>
        <v>624</v>
      </c>
      <c r="F66" s="40">
        <f>614</f>
        <v>614</v>
      </c>
    </row>
    <row r="67" spans="1:6" x14ac:dyDescent="0.25">
      <c r="A67" s="24">
        <v>41244</v>
      </c>
      <c r="B67" s="25">
        <f t="shared" si="6"/>
        <v>0.98325358851674638</v>
      </c>
      <c r="C67" s="26">
        <v>0.9</v>
      </c>
      <c r="D67" s="41">
        <f t="shared" ref="D67:D81" si="8">(E67-F67)/E67</f>
        <v>1.6746411483253589E-2</v>
      </c>
      <c r="E67" s="40">
        <f>27+304+87</f>
        <v>418</v>
      </c>
      <c r="F67" s="40">
        <v>411</v>
      </c>
    </row>
    <row r="68" spans="1:6" x14ac:dyDescent="0.25">
      <c r="A68" s="24">
        <v>41275</v>
      </c>
      <c r="B68" s="25">
        <f t="shared" ref="B68:B76" si="9">1-D68</f>
        <v>0.98742138364779874</v>
      </c>
      <c r="C68" s="26">
        <v>0.9</v>
      </c>
      <c r="D68" s="41">
        <f t="shared" si="8"/>
        <v>1.2578616352201259E-2</v>
      </c>
      <c r="E68" s="40">
        <v>795</v>
      </c>
      <c r="F68" s="40">
        <v>785</v>
      </c>
    </row>
    <row r="69" spans="1:6" x14ac:dyDescent="0.25">
      <c r="A69" s="24">
        <v>41306</v>
      </c>
      <c r="B69" s="25">
        <f t="shared" si="9"/>
        <v>0.98428571428571432</v>
      </c>
      <c r="C69" s="26">
        <v>0.9</v>
      </c>
      <c r="D69" s="41">
        <f t="shared" si="8"/>
        <v>1.5714285714285715E-2</v>
      </c>
      <c r="E69" s="40">
        <v>700</v>
      </c>
      <c r="F69" s="40">
        <f>700-11</f>
        <v>689</v>
      </c>
    </row>
    <row r="70" spans="1:6" x14ac:dyDescent="0.25">
      <c r="A70" s="24">
        <v>41334</v>
      </c>
      <c r="B70" s="25">
        <f t="shared" si="9"/>
        <v>0.99656357388316152</v>
      </c>
      <c r="C70" s="26">
        <v>0.9</v>
      </c>
      <c r="D70" s="41">
        <f t="shared" si="8"/>
        <v>3.4364261168384879E-3</v>
      </c>
      <c r="E70" s="23">
        <v>582</v>
      </c>
      <c r="F70" s="23">
        <f>582-2</f>
        <v>580</v>
      </c>
    </row>
    <row r="71" spans="1:6" x14ac:dyDescent="0.25">
      <c r="A71" s="24">
        <v>41365</v>
      </c>
      <c r="B71" s="25">
        <f t="shared" si="9"/>
        <v>0.96933560477001701</v>
      </c>
      <c r="C71" s="26">
        <v>0.9</v>
      </c>
      <c r="D71" s="41">
        <f t="shared" si="8"/>
        <v>3.0664395229982964E-2</v>
      </c>
      <c r="E71" s="40">
        <v>587</v>
      </c>
      <c r="F71" s="23">
        <f>587-18</f>
        <v>569</v>
      </c>
    </row>
    <row r="72" spans="1:6" x14ac:dyDescent="0.25">
      <c r="A72" s="24">
        <v>41395</v>
      </c>
      <c r="B72" s="144">
        <f t="shared" si="9"/>
        <v>0.99484536082474229</v>
      </c>
      <c r="C72" s="145">
        <v>0.9</v>
      </c>
      <c r="D72" s="41">
        <f t="shared" si="8"/>
        <v>5.1546391752577319E-3</v>
      </c>
      <c r="E72" s="40">
        <f>104+594+78</f>
        <v>776</v>
      </c>
      <c r="F72" s="23">
        <f>776-4</f>
        <v>772</v>
      </c>
    </row>
    <row r="73" spans="1:6" x14ac:dyDescent="0.25">
      <c r="A73" s="24">
        <v>41426</v>
      </c>
      <c r="B73" s="144">
        <f t="shared" si="9"/>
        <v>0.99717514124293782</v>
      </c>
      <c r="C73" s="145">
        <v>0.9</v>
      </c>
      <c r="D73" s="41">
        <f t="shared" si="8"/>
        <v>2.8248587570621469E-3</v>
      </c>
      <c r="E73" s="23">
        <f>13+313+28</f>
        <v>354</v>
      </c>
      <c r="F73" s="23">
        <v>353</v>
      </c>
    </row>
    <row r="74" spans="1:6" x14ac:dyDescent="0.25">
      <c r="A74" s="24">
        <v>41456</v>
      </c>
      <c r="B74" s="144">
        <f t="shared" si="9"/>
        <v>0.99567099567099571</v>
      </c>
      <c r="C74" s="145">
        <v>0.9</v>
      </c>
      <c r="D74" s="41">
        <f t="shared" si="8"/>
        <v>4.329004329004329E-3</v>
      </c>
      <c r="E74" s="143">
        <v>693</v>
      </c>
      <c r="F74" s="143">
        <f>693-3</f>
        <v>690</v>
      </c>
    </row>
    <row r="75" spans="1:6" x14ac:dyDescent="0.25">
      <c r="A75" s="24">
        <v>41487</v>
      </c>
      <c r="B75" s="144">
        <f t="shared" si="9"/>
        <v>0.99276672694394208</v>
      </c>
      <c r="C75" s="145">
        <v>0.9</v>
      </c>
      <c r="D75" s="41">
        <f t="shared" si="8"/>
        <v>7.2332730560578659E-3</v>
      </c>
      <c r="E75" s="143">
        <v>553</v>
      </c>
      <c r="F75" s="143">
        <f>553-4</f>
        <v>549</v>
      </c>
    </row>
    <row r="76" spans="1:6" x14ac:dyDescent="0.25">
      <c r="A76" s="24">
        <v>41518</v>
      </c>
      <c r="B76" s="144">
        <f t="shared" si="9"/>
        <v>0.9789719626168224</v>
      </c>
      <c r="C76" s="145">
        <v>0.9</v>
      </c>
      <c r="D76" s="41">
        <f t="shared" si="8"/>
        <v>2.1028037383177569E-2</v>
      </c>
      <c r="E76" s="143">
        <f>29+293+106</f>
        <v>428</v>
      </c>
      <c r="F76" s="143">
        <f>428-9</f>
        <v>419</v>
      </c>
    </row>
    <row r="77" spans="1:6" s="143" customFormat="1" x14ac:dyDescent="0.25">
      <c r="A77" s="24">
        <v>41548</v>
      </c>
      <c r="B77" s="144">
        <f>1-D77</f>
        <v>0.96990740740740744</v>
      </c>
      <c r="C77" s="145">
        <v>0.9</v>
      </c>
      <c r="D77" s="41">
        <f t="shared" si="8"/>
        <v>3.0092592592592591E-2</v>
      </c>
      <c r="E77" s="143">
        <v>432</v>
      </c>
      <c r="F77" s="143">
        <f>432-13</f>
        <v>419</v>
      </c>
    </row>
    <row r="78" spans="1:6" s="143" customFormat="1" x14ac:dyDescent="0.25">
      <c r="A78" s="24">
        <v>41579</v>
      </c>
      <c r="B78" s="144">
        <f>1-D78</f>
        <v>1</v>
      </c>
      <c r="C78" s="145">
        <v>0.9</v>
      </c>
      <c r="D78" s="41">
        <f t="shared" si="8"/>
        <v>0</v>
      </c>
      <c r="E78" s="143">
        <f>308</f>
        <v>308</v>
      </c>
      <c r="F78" s="143">
        <f>308-0</f>
        <v>308</v>
      </c>
    </row>
    <row r="79" spans="1:6" x14ac:dyDescent="0.25">
      <c r="A79" s="24">
        <v>41609</v>
      </c>
      <c r="B79" s="144">
        <f>1-D79</f>
        <v>0.93922651933701662</v>
      </c>
      <c r="C79" s="145">
        <v>0.9</v>
      </c>
      <c r="D79" s="41">
        <f t="shared" si="8"/>
        <v>6.0773480662983423E-2</v>
      </c>
      <c r="E79" s="143">
        <v>362</v>
      </c>
      <c r="F79" s="23">
        <f>362-22</f>
        <v>340</v>
      </c>
    </row>
    <row r="80" spans="1:6" x14ac:dyDescent="0.25">
      <c r="A80" s="24">
        <v>41640</v>
      </c>
      <c r="B80" s="144">
        <f>1-D80</f>
        <v>1</v>
      </c>
      <c r="C80" s="145">
        <v>0.9</v>
      </c>
      <c r="D80" s="41">
        <f t="shared" si="8"/>
        <v>0</v>
      </c>
      <c r="E80" s="23">
        <f>22+198+77</f>
        <v>297</v>
      </c>
      <c r="F80" s="23">
        <f>297-0</f>
        <v>297</v>
      </c>
    </row>
    <row r="81" spans="1:7" x14ac:dyDescent="0.25">
      <c r="A81" s="24">
        <v>41671</v>
      </c>
      <c r="B81" s="144">
        <f>1-D81</f>
        <v>0.97619047619047616</v>
      </c>
      <c r="C81" s="145">
        <v>0.9</v>
      </c>
      <c r="D81" s="41">
        <f t="shared" si="8"/>
        <v>2.3809523809523808E-2</v>
      </c>
      <c r="E81" s="143">
        <f>34+225+77</f>
        <v>336</v>
      </c>
      <c r="F81" s="143">
        <f>336-8</f>
        <v>328</v>
      </c>
    </row>
    <row r="82" spans="1:7" x14ac:dyDescent="0.25">
      <c r="A82" s="24">
        <v>41699</v>
      </c>
      <c r="B82" s="144">
        <f t="shared" ref="B82:B93" si="10">F82/E82</f>
        <v>0.98194945848375448</v>
      </c>
      <c r="C82" s="145">
        <v>0.9</v>
      </c>
      <c r="D82" s="145">
        <f t="shared" ref="D82:D93" si="11">1-B82</f>
        <v>1.8050541516245522E-2</v>
      </c>
      <c r="E82" s="143">
        <f>28+344+182</f>
        <v>554</v>
      </c>
      <c r="F82" s="143">
        <f>554-10</f>
        <v>544</v>
      </c>
    </row>
    <row r="83" spans="1:7" x14ac:dyDescent="0.25">
      <c r="A83" s="24">
        <v>41730</v>
      </c>
      <c r="B83" s="144">
        <f t="shared" si="10"/>
        <v>1</v>
      </c>
      <c r="C83" s="145">
        <v>0.9</v>
      </c>
      <c r="D83" s="145">
        <f t="shared" si="11"/>
        <v>0</v>
      </c>
      <c r="E83" s="143">
        <f>424+145+45</f>
        <v>614</v>
      </c>
      <c r="F83" s="143">
        <v>614</v>
      </c>
    </row>
    <row r="84" spans="1:7" x14ac:dyDescent="0.25">
      <c r="A84" s="24">
        <v>41760</v>
      </c>
      <c r="B84" s="144">
        <f t="shared" si="10"/>
        <v>0.99437412095639943</v>
      </c>
      <c r="C84" s="145">
        <v>0.9</v>
      </c>
      <c r="D84" s="145">
        <f t="shared" si="11"/>
        <v>5.6258790436005679E-3</v>
      </c>
      <c r="E84" s="23">
        <f>145+536+30</f>
        <v>711</v>
      </c>
      <c r="F84" s="23">
        <f>711-3-1</f>
        <v>707</v>
      </c>
    </row>
    <row r="85" spans="1:7" x14ac:dyDescent="0.25">
      <c r="A85" s="24">
        <v>41791</v>
      </c>
      <c r="B85" s="144">
        <f t="shared" si="10"/>
        <v>1</v>
      </c>
      <c r="C85" s="145">
        <v>0.9</v>
      </c>
      <c r="D85" s="145">
        <f t="shared" si="11"/>
        <v>0</v>
      </c>
      <c r="E85" s="23">
        <f>69+376+153</f>
        <v>598</v>
      </c>
      <c r="F85" s="23">
        <f>598-0</f>
        <v>598</v>
      </c>
    </row>
    <row r="86" spans="1:7" x14ac:dyDescent="0.25">
      <c r="A86" s="24">
        <v>41821</v>
      </c>
      <c r="B86" s="144">
        <f t="shared" si="10"/>
        <v>1</v>
      </c>
      <c r="C86" s="145">
        <v>0.9</v>
      </c>
      <c r="D86" s="145">
        <f t="shared" si="11"/>
        <v>0</v>
      </c>
      <c r="E86" s="23">
        <v>317</v>
      </c>
      <c r="F86" s="23">
        <v>317</v>
      </c>
    </row>
    <row r="87" spans="1:7" x14ac:dyDescent="0.25">
      <c r="A87" s="24">
        <v>41852</v>
      </c>
      <c r="B87" s="144">
        <f t="shared" si="10"/>
        <v>1</v>
      </c>
      <c r="C87" s="145">
        <v>0.9</v>
      </c>
      <c r="D87" s="145">
        <f t="shared" si="11"/>
        <v>0</v>
      </c>
      <c r="E87" s="143">
        <f>123+387+48</f>
        <v>558</v>
      </c>
      <c r="F87" s="143">
        <v>558</v>
      </c>
    </row>
    <row r="88" spans="1:7" x14ac:dyDescent="0.25">
      <c r="A88" s="24">
        <v>41883</v>
      </c>
      <c r="B88" s="144">
        <f t="shared" si="10"/>
        <v>0.99860917941585536</v>
      </c>
      <c r="C88" s="145">
        <v>0.9</v>
      </c>
      <c r="D88" s="145">
        <f t="shared" si="11"/>
        <v>1.3908205841446364E-3</v>
      </c>
      <c r="E88" s="143">
        <f>365+197+157</f>
        <v>719</v>
      </c>
      <c r="F88" s="143">
        <v>718</v>
      </c>
    </row>
    <row r="89" spans="1:7" x14ac:dyDescent="0.25">
      <c r="A89" s="24">
        <v>41913</v>
      </c>
      <c r="B89" s="144">
        <f t="shared" si="10"/>
        <v>0.77519379844961245</v>
      </c>
      <c r="C89" s="145">
        <v>0.9</v>
      </c>
      <c r="D89" s="145">
        <f t="shared" si="11"/>
        <v>0.22480620155038755</v>
      </c>
      <c r="E89" s="143">
        <v>258</v>
      </c>
      <c r="F89" s="143">
        <v>200</v>
      </c>
      <c r="G89" s="143"/>
    </row>
    <row r="90" spans="1:7" x14ac:dyDescent="0.25">
      <c r="A90" s="24">
        <v>41944</v>
      </c>
      <c r="B90" s="144">
        <f t="shared" si="10"/>
        <v>1</v>
      </c>
      <c r="C90" s="145">
        <v>0.9</v>
      </c>
      <c r="D90" s="145">
        <f t="shared" si="11"/>
        <v>0</v>
      </c>
      <c r="E90" s="143">
        <v>388</v>
      </c>
      <c r="F90" s="143">
        <v>388</v>
      </c>
    </row>
    <row r="91" spans="1:7" x14ac:dyDescent="0.25">
      <c r="A91" s="24">
        <v>41974</v>
      </c>
      <c r="B91" s="144">
        <f t="shared" si="10"/>
        <v>1</v>
      </c>
      <c r="C91" s="145">
        <v>0.9</v>
      </c>
      <c r="D91" s="145">
        <f t="shared" si="11"/>
        <v>0</v>
      </c>
      <c r="E91" s="23">
        <f>34+240+113</f>
        <v>387</v>
      </c>
      <c r="F91" s="143">
        <v>387</v>
      </c>
    </row>
    <row r="92" spans="1:7" x14ac:dyDescent="0.25">
      <c r="A92" s="24">
        <v>42005</v>
      </c>
      <c r="B92" s="144">
        <f t="shared" si="10"/>
        <v>1</v>
      </c>
      <c r="C92" s="145">
        <v>0.9</v>
      </c>
      <c r="D92" s="145">
        <f t="shared" si="11"/>
        <v>0</v>
      </c>
      <c r="E92" s="143">
        <f>327+112+52</f>
        <v>491</v>
      </c>
      <c r="F92" s="143">
        <v>491</v>
      </c>
    </row>
    <row r="93" spans="1:7" x14ac:dyDescent="0.25">
      <c r="A93" s="24">
        <v>42036</v>
      </c>
      <c r="B93" s="144">
        <f t="shared" si="10"/>
        <v>1</v>
      </c>
      <c r="C93" s="145">
        <v>0.9</v>
      </c>
      <c r="D93" s="145">
        <f t="shared" si="11"/>
        <v>0</v>
      </c>
      <c r="E93" s="143">
        <f>303+105+35</f>
        <v>443</v>
      </c>
      <c r="F93" s="143">
        <v>443</v>
      </c>
    </row>
    <row r="94" spans="1:7" s="143" customFormat="1" x14ac:dyDescent="0.25">
      <c r="A94" s="24">
        <v>42064</v>
      </c>
      <c r="B94" s="144">
        <v>1</v>
      </c>
      <c r="C94" s="145">
        <v>0.9</v>
      </c>
      <c r="D94" s="145">
        <v>0</v>
      </c>
      <c r="E94" s="251">
        <v>140</v>
      </c>
      <c r="F94" s="251">
        <v>140</v>
      </c>
    </row>
    <row r="95" spans="1:7" s="143" customFormat="1" x14ac:dyDescent="0.25">
      <c r="A95" s="24">
        <v>42095</v>
      </c>
      <c r="B95" s="144">
        <v>1</v>
      </c>
      <c r="C95" s="145">
        <v>0.9</v>
      </c>
      <c r="D95" s="145">
        <v>0</v>
      </c>
      <c r="E95" s="251">
        <v>80</v>
      </c>
      <c r="F95" s="251">
        <v>80</v>
      </c>
    </row>
    <row r="96" spans="1:7" s="143" customFormat="1" x14ac:dyDescent="0.25">
      <c r="A96" s="24">
        <v>42125</v>
      </c>
      <c r="B96" s="144">
        <v>1</v>
      </c>
      <c r="C96" s="145">
        <v>0.9</v>
      </c>
      <c r="D96" s="145">
        <v>0</v>
      </c>
      <c r="E96" s="251">
        <v>74</v>
      </c>
      <c r="F96" s="251">
        <v>74</v>
      </c>
    </row>
    <row r="97" spans="1:6" x14ac:dyDescent="0.25">
      <c r="A97" s="24">
        <v>42156</v>
      </c>
      <c r="B97" s="144">
        <v>1</v>
      </c>
      <c r="C97" s="145">
        <v>0.9</v>
      </c>
      <c r="D97" s="145">
        <v>0</v>
      </c>
      <c r="E97" s="251">
        <v>111</v>
      </c>
      <c r="F97" s="251">
        <v>111</v>
      </c>
    </row>
    <row r="98" spans="1:6" s="143" customFormat="1" x14ac:dyDescent="0.25">
      <c r="A98" s="24">
        <v>42186</v>
      </c>
      <c r="B98" s="144">
        <v>1</v>
      </c>
      <c r="C98" s="145">
        <v>0.9</v>
      </c>
      <c r="D98" s="145">
        <v>0</v>
      </c>
      <c r="E98" s="251">
        <v>118</v>
      </c>
      <c r="F98" s="251">
        <v>118</v>
      </c>
    </row>
    <row r="99" spans="1:6" x14ac:dyDescent="0.25">
      <c r="A99" s="24">
        <v>42217</v>
      </c>
      <c r="B99" s="144">
        <v>1</v>
      </c>
      <c r="C99" s="145">
        <v>0.9</v>
      </c>
      <c r="D99" s="145">
        <v>0</v>
      </c>
      <c r="E99" s="251">
        <v>128</v>
      </c>
      <c r="F99" s="251">
        <v>128</v>
      </c>
    </row>
    <row r="100" spans="1:6" x14ac:dyDescent="0.25">
      <c r="A100" s="24">
        <v>42248</v>
      </c>
      <c r="B100" s="144">
        <v>1</v>
      </c>
      <c r="C100" s="145">
        <v>0.9</v>
      </c>
      <c r="D100" s="145">
        <v>0</v>
      </c>
      <c r="E100" s="251">
        <v>184</v>
      </c>
      <c r="F100" s="251">
        <v>184</v>
      </c>
    </row>
    <row r="101" spans="1:6" s="143" customFormat="1" x14ac:dyDescent="0.25">
      <c r="A101" s="24">
        <v>42278</v>
      </c>
      <c r="B101" s="144">
        <v>1</v>
      </c>
      <c r="C101" s="145">
        <v>0.9</v>
      </c>
      <c r="D101" s="145">
        <v>0</v>
      </c>
      <c r="E101" s="251">
        <v>137</v>
      </c>
      <c r="F101" s="251">
        <v>137</v>
      </c>
    </row>
    <row r="102" spans="1:6" s="143" customFormat="1" x14ac:dyDescent="0.25">
      <c r="A102" s="24">
        <v>42309</v>
      </c>
      <c r="B102" s="144">
        <v>1</v>
      </c>
      <c r="C102" s="145">
        <v>0.9</v>
      </c>
      <c r="D102" s="145">
        <v>0</v>
      </c>
      <c r="E102" s="251">
        <v>101</v>
      </c>
      <c r="F102" s="251">
        <v>101</v>
      </c>
    </row>
    <row r="103" spans="1:6" s="143" customFormat="1" x14ac:dyDescent="0.25">
      <c r="A103" s="24">
        <v>42339</v>
      </c>
      <c r="B103" s="144">
        <v>1</v>
      </c>
      <c r="C103" s="145">
        <v>0.9</v>
      </c>
      <c r="D103" s="145">
        <v>0</v>
      </c>
      <c r="E103" s="251">
        <v>106</v>
      </c>
      <c r="F103" s="251">
        <v>106</v>
      </c>
    </row>
    <row r="104" spans="1:6" s="143" customFormat="1" x14ac:dyDescent="0.25">
      <c r="A104" s="24">
        <v>42370</v>
      </c>
      <c r="B104" s="144">
        <v>1</v>
      </c>
      <c r="C104" s="145">
        <v>0.9</v>
      </c>
      <c r="D104" s="145">
        <v>0</v>
      </c>
      <c r="E104" s="251">
        <v>148</v>
      </c>
      <c r="F104" s="251">
        <v>148</v>
      </c>
    </row>
  </sheetData>
  <pageMargins left="0.25" right="0.25" top="0.75" bottom="0.75" header="0.3" footer="0.3"/>
  <pageSetup orientation="landscape" r:id="rId1"/>
  <ignoredErrors>
    <ignoredError sqref="F63" formula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topLeftCell="A16" zoomScale="110" zoomScaleNormal="110" workbookViewId="0">
      <selection activeCell="C27" sqref="C27"/>
    </sheetView>
  </sheetViews>
  <sheetFormatPr defaultColWidth="8.85546875" defaultRowHeight="15" x14ac:dyDescent="0.25"/>
  <cols>
    <col min="1" max="1" width="11.140625" style="186" customWidth="1"/>
    <col min="2" max="3" width="12.140625" style="27" customWidth="1"/>
    <col min="4" max="4" width="7.140625" style="27" customWidth="1"/>
    <col min="5" max="5" width="11.7109375" style="186" customWidth="1"/>
    <col min="6" max="6" width="12" style="186" customWidth="1"/>
    <col min="7" max="7" width="12.7109375" style="186" customWidth="1"/>
    <col min="8" max="8" width="11.7109375" style="186" customWidth="1"/>
    <col min="9" max="9" width="12.7109375" style="186" customWidth="1"/>
    <col min="10" max="10" width="6.28515625" style="186" customWidth="1"/>
    <col min="11" max="11" width="18.7109375" style="186" customWidth="1"/>
    <col min="12" max="12" width="10.5703125" style="186" customWidth="1"/>
    <col min="13" max="16384" width="8.85546875" style="186"/>
  </cols>
  <sheetData>
    <row r="1" spans="1:14" ht="31.15" customHeight="1" x14ac:dyDescent="0.4">
      <c r="F1" s="245" t="s">
        <v>521</v>
      </c>
      <c r="G1" s="184"/>
      <c r="H1" s="184"/>
      <c r="I1" s="184"/>
    </row>
    <row r="3" spans="1:14" ht="15.75" x14ac:dyDescent="0.25">
      <c r="E3" s="73"/>
      <c r="F3" s="158" t="s">
        <v>518</v>
      </c>
      <c r="G3" s="159"/>
      <c r="H3" s="159"/>
      <c r="I3" s="160"/>
      <c r="J3" s="73"/>
      <c r="K3" s="66"/>
    </row>
    <row r="4" spans="1:14" ht="15.75" x14ac:dyDescent="0.25">
      <c r="E4" s="73"/>
      <c r="F4" s="254" t="s">
        <v>25</v>
      </c>
      <c r="G4" s="255"/>
      <c r="H4" s="254" t="s">
        <v>3</v>
      </c>
      <c r="I4" s="255"/>
      <c r="J4" s="73"/>
      <c r="K4" s="66"/>
    </row>
    <row r="5" spans="1:14" ht="47.25" x14ac:dyDescent="0.25">
      <c r="A5" s="5" t="s">
        <v>501</v>
      </c>
      <c r="C5" s="5" t="s">
        <v>499</v>
      </c>
      <c r="E5" s="77" t="s">
        <v>57</v>
      </c>
      <c r="F5" s="76" t="s">
        <v>24</v>
      </c>
      <c r="G5" s="75" t="s">
        <v>23</v>
      </c>
      <c r="H5" s="76" t="s">
        <v>22</v>
      </c>
      <c r="I5" s="75" t="s">
        <v>21</v>
      </c>
      <c r="J5" s="73"/>
      <c r="K5" s="161" t="s">
        <v>20</v>
      </c>
      <c r="L5" s="93"/>
      <c r="M5" s="93"/>
      <c r="N5" s="93"/>
    </row>
    <row r="6" spans="1:14" ht="15.75" x14ac:dyDescent="0.25">
      <c r="A6" s="186" t="s">
        <v>519</v>
      </c>
      <c r="C6" s="27" t="s">
        <v>519</v>
      </c>
      <c r="E6" s="74"/>
      <c r="F6" s="70"/>
      <c r="G6" s="74"/>
      <c r="H6" s="70"/>
      <c r="I6" s="74"/>
      <c r="J6" s="73"/>
      <c r="K6" s="70"/>
    </row>
    <row r="7" spans="1:14" ht="15.75" x14ac:dyDescent="0.25">
      <c r="A7" s="94">
        <v>1678902.4199966751</v>
      </c>
      <c r="B7" s="201">
        <v>7.3566630222698437E-2</v>
      </c>
      <c r="C7" s="208">
        <f>B7*$A$21</f>
        <v>1713533.446304101</v>
      </c>
      <c r="D7" s="201"/>
      <c r="E7" s="66" t="s">
        <v>19</v>
      </c>
      <c r="F7" s="208">
        <v>1713533.446304101</v>
      </c>
      <c r="G7" s="227">
        <f>F7</f>
        <v>1713533.446304101</v>
      </c>
      <c r="H7" s="227">
        <v>1440998.7866666666</v>
      </c>
      <c r="I7" s="227">
        <f>H7</f>
        <v>1440998.7866666666</v>
      </c>
      <c r="J7" s="229"/>
      <c r="K7" s="230">
        <f>+G7-I7</f>
        <v>272534.65963743441</v>
      </c>
      <c r="L7" s="223"/>
    </row>
    <row r="8" spans="1:14" ht="15.75" x14ac:dyDescent="0.25">
      <c r="A8" s="96">
        <v>1747685.8820541119</v>
      </c>
      <c r="B8" s="201">
        <v>7.5882096107446687E-2</v>
      </c>
      <c r="C8" s="208">
        <f t="shared" ref="C8:C18" si="0">B8*$A$21</f>
        <v>1767465.8912901166</v>
      </c>
      <c r="D8" s="201"/>
      <c r="E8" s="66" t="s">
        <v>18</v>
      </c>
      <c r="F8" s="208">
        <v>1767465.8912901166</v>
      </c>
      <c r="G8" s="230">
        <f t="shared" ref="G8:G18" si="1">G7+F8</f>
        <v>3480999.3375942176</v>
      </c>
      <c r="H8" s="231">
        <v>1425131.4266666668</v>
      </c>
      <c r="I8" s="232">
        <f>I7+H8</f>
        <v>2866130.2133333334</v>
      </c>
      <c r="J8" s="229"/>
      <c r="K8" s="230">
        <f t="shared" ref="K8:K18" si="2">+G8-I8</f>
        <v>614869.12426088424</v>
      </c>
      <c r="L8" s="223"/>
    </row>
    <row r="9" spans="1:14" ht="15.75" x14ac:dyDescent="0.25">
      <c r="A9" s="98">
        <v>1900066.2969188502</v>
      </c>
      <c r="B9" s="201">
        <v>8.3037990293286512E-2</v>
      </c>
      <c r="C9" s="208">
        <f t="shared" si="0"/>
        <v>1934142.8749786571</v>
      </c>
      <c r="D9" s="201"/>
      <c r="E9" s="70" t="s">
        <v>17</v>
      </c>
      <c r="F9" s="210">
        <v>1934142.8749786571</v>
      </c>
      <c r="G9" s="233">
        <f t="shared" si="1"/>
        <v>5415142.2125728745</v>
      </c>
      <c r="H9" s="234">
        <v>1455301.0466666666</v>
      </c>
      <c r="I9" s="235">
        <f>I8+H9</f>
        <v>4321431.26</v>
      </c>
      <c r="J9" s="229"/>
      <c r="K9" s="233">
        <f t="shared" si="2"/>
        <v>1093710.9525728747</v>
      </c>
      <c r="L9" s="223"/>
    </row>
    <row r="10" spans="1:14" ht="15.75" x14ac:dyDescent="0.25">
      <c r="A10" s="94">
        <v>2004639.5207391877</v>
      </c>
      <c r="B10" s="201">
        <v>8.7586831260910034E-2</v>
      </c>
      <c r="C10" s="208">
        <f t="shared" si="0"/>
        <v>2040095.6842394006</v>
      </c>
      <c r="D10" s="201"/>
      <c r="E10" s="66" t="s">
        <v>16</v>
      </c>
      <c r="F10" s="208">
        <v>2040095.6842394006</v>
      </c>
      <c r="G10" s="230">
        <f t="shared" si="1"/>
        <v>7455237.8968122751</v>
      </c>
      <c r="H10" s="228">
        <v>1520487.7966666666</v>
      </c>
      <c r="I10" s="232">
        <f t="shared" ref="I10:I18" si="3">I9+H10</f>
        <v>5841919.0566666666</v>
      </c>
      <c r="J10" s="229"/>
      <c r="K10" s="230">
        <f t="shared" si="2"/>
        <v>1613318.8401456084</v>
      </c>
      <c r="L10" s="223"/>
    </row>
    <row r="11" spans="1:14" ht="15.75" x14ac:dyDescent="0.25">
      <c r="A11" s="140">
        <v>1906443.3393578867</v>
      </c>
      <c r="B11" s="201">
        <v>8.508965701551649E-2</v>
      </c>
      <c r="C11" s="208">
        <f t="shared" si="0"/>
        <v>1981930.8399645193</v>
      </c>
      <c r="D11" s="201"/>
      <c r="E11" s="66" t="s">
        <v>15</v>
      </c>
      <c r="F11" s="208">
        <v>1981930.8399645193</v>
      </c>
      <c r="G11" s="230">
        <f t="shared" si="1"/>
        <v>9437168.7367767952</v>
      </c>
      <c r="H11" s="236">
        <v>1554380.7966666666</v>
      </c>
      <c r="I11" s="232">
        <f>I10+H11</f>
        <v>7396299.8533333335</v>
      </c>
      <c r="J11" s="229"/>
      <c r="K11" s="230">
        <f t="shared" si="2"/>
        <v>2040868.8834434617</v>
      </c>
      <c r="L11" s="223"/>
    </row>
    <row r="12" spans="1:14" ht="15.75" x14ac:dyDescent="0.25">
      <c r="A12" s="100">
        <v>1880953.3349837521</v>
      </c>
      <c r="B12" s="201">
        <v>7.9123009359828952E-2</v>
      </c>
      <c r="C12" s="208">
        <f t="shared" si="0"/>
        <v>1842954.1016066163</v>
      </c>
      <c r="D12" s="201"/>
      <c r="E12" s="70" t="s">
        <v>14</v>
      </c>
      <c r="F12" s="210">
        <v>1842954.1016066163</v>
      </c>
      <c r="G12" s="233">
        <f t="shared" si="1"/>
        <v>11280122.838383412</v>
      </c>
      <c r="H12" s="237">
        <v>1340838.2766666668</v>
      </c>
      <c r="I12" s="235">
        <f>I11 +H12</f>
        <v>8737138.1300000008</v>
      </c>
      <c r="J12" s="229"/>
      <c r="K12" s="233">
        <f>+G12-I12</f>
        <v>2542984.7083834112</v>
      </c>
      <c r="L12" s="223"/>
    </row>
    <row r="13" spans="1:14" ht="15.75" x14ac:dyDescent="0.25">
      <c r="A13" s="140">
        <v>1686883.4685545156</v>
      </c>
      <c r="B13" s="201">
        <v>7.3198455365284132E-2</v>
      </c>
      <c r="C13" s="208">
        <f t="shared" si="0"/>
        <v>1704957.8199588698</v>
      </c>
      <c r="D13" s="201"/>
      <c r="E13" s="66" t="s">
        <v>13</v>
      </c>
      <c r="F13" s="208">
        <v>1704957.8199588698</v>
      </c>
      <c r="G13" s="230">
        <f t="shared" si="1"/>
        <v>12985080.658342281</v>
      </c>
      <c r="H13" s="236">
        <v>1427124.0999999999</v>
      </c>
      <c r="I13" s="232">
        <f t="shared" si="3"/>
        <v>10164262.23</v>
      </c>
      <c r="J13" s="229"/>
      <c r="K13" s="230">
        <f t="shared" si="2"/>
        <v>2820818.4283422809</v>
      </c>
      <c r="L13" s="223"/>
    </row>
    <row r="14" spans="1:14" ht="15.75" x14ac:dyDescent="0.25">
      <c r="A14" s="140">
        <v>1719963.2684804297</v>
      </c>
      <c r="B14" s="201">
        <v>7.7768495550885386E-2</v>
      </c>
      <c r="C14" s="208">
        <f t="shared" si="0"/>
        <v>1811404.4070225435</v>
      </c>
      <c r="D14" s="201"/>
      <c r="E14" s="66" t="s">
        <v>12</v>
      </c>
      <c r="F14" s="208">
        <v>1811404.4070225435</v>
      </c>
      <c r="G14" s="230">
        <f>G13+F14</f>
        <v>14796485.065364825</v>
      </c>
      <c r="H14" s="236">
        <v>1442600</v>
      </c>
      <c r="I14" s="232">
        <f>I13+H14</f>
        <v>11606862.23</v>
      </c>
      <c r="J14" s="229"/>
      <c r="K14" s="230">
        <f t="shared" si="2"/>
        <v>3189622.8353648242</v>
      </c>
    </row>
    <row r="15" spans="1:14" ht="15.75" x14ac:dyDescent="0.25">
      <c r="A15" s="100">
        <v>1918332.1424674774</v>
      </c>
      <c r="B15" s="201">
        <v>8.8464432310281643E-2</v>
      </c>
      <c r="C15" s="208">
        <f t="shared" si="0"/>
        <v>2060537.0004456423</v>
      </c>
      <c r="D15" s="201"/>
      <c r="E15" s="70" t="s">
        <v>11</v>
      </c>
      <c r="F15" s="210">
        <v>2060537.0004456423</v>
      </c>
      <c r="G15" s="233">
        <f t="shared" si="1"/>
        <v>16857022.065810468</v>
      </c>
      <c r="H15" s="237">
        <v>1644359.8199999998</v>
      </c>
      <c r="I15" s="235">
        <f t="shared" si="3"/>
        <v>13251222.050000001</v>
      </c>
      <c r="J15" s="229"/>
      <c r="K15" s="233">
        <f t="shared" si="2"/>
        <v>3605800.0158104673</v>
      </c>
    </row>
    <row r="16" spans="1:14" ht="15.75" x14ac:dyDescent="0.25">
      <c r="A16" s="140">
        <v>2061539.5790670691</v>
      </c>
      <c r="B16" s="201">
        <v>0.10085607075239114</v>
      </c>
      <c r="C16" s="208">
        <f t="shared" si="0"/>
        <v>2349166.3268234436</v>
      </c>
      <c r="D16" s="201"/>
      <c r="E16" s="66" t="s">
        <v>10</v>
      </c>
      <c r="F16" s="208">
        <v>2349166.3268234436</v>
      </c>
      <c r="G16" s="230">
        <f t="shared" si="1"/>
        <v>19206188.392633911</v>
      </c>
      <c r="H16" s="236">
        <v>1853474</v>
      </c>
      <c r="I16" s="232">
        <f t="shared" si="3"/>
        <v>15104696.050000001</v>
      </c>
      <c r="J16" s="229"/>
      <c r="K16" s="230">
        <f t="shared" si="2"/>
        <v>4101492.3426339105</v>
      </c>
    </row>
    <row r="17" spans="1:12" ht="15.75" x14ac:dyDescent="0.25">
      <c r="A17" s="140">
        <v>1999635.0072793895</v>
      </c>
      <c r="B17" s="201">
        <v>9.6344448398358234E-2</v>
      </c>
      <c r="C17" s="208">
        <f t="shared" si="0"/>
        <v>2244080.4233733853</v>
      </c>
      <c r="D17" s="201"/>
      <c r="E17" s="66" t="s">
        <v>9</v>
      </c>
      <c r="F17" s="208">
        <v>2244080.4233733853</v>
      </c>
      <c r="G17" s="230">
        <f t="shared" si="1"/>
        <v>21450268.816007297</v>
      </c>
      <c r="H17" s="236">
        <v>1919936</v>
      </c>
      <c r="I17" s="232">
        <f t="shared" si="3"/>
        <v>17024632.050000001</v>
      </c>
      <c r="J17" s="229"/>
      <c r="K17" s="230">
        <f t="shared" si="2"/>
        <v>4425636.7660072967</v>
      </c>
    </row>
    <row r="18" spans="1:12" ht="15.75" x14ac:dyDescent="0.25">
      <c r="A18" s="100">
        <v>1732645.044260201</v>
      </c>
      <c r="B18" s="202">
        <v>7.908188336311249E-2</v>
      </c>
      <c r="C18" s="210">
        <f t="shared" si="0"/>
        <v>1841996.1839927074</v>
      </c>
      <c r="D18" s="202"/>
      <c r="E18" s="70" t="s">
        <v>8</v>
      </c>
      <c r="F18" s="210">
        <v>1841996.1839927074</v>
      </c>
      <c r="G18" s="233">
        <f t="shared" si="1"/>
        <v>23292265.000000004</v>
      </c>
      <c r="H18" s="237"/>
      <c r="I18" s="235">
        <f t="shared" si="3"/>
        <v>17024632.050000001</v>
      </c>
      <c r="J18" s="229" t="s">
        <v>263</v>
      </c>
      <c r="K18" s="233">
        <f t="shared" si="2"/>
        <v>6267632.950000003</v>
      </c>
    </row>
    <row r="19" spans="1:12" ht="15.75" x14ac:dyDescent="0.25">
      <c r="A19" s="226">
        <f>SUM(A7:A18)</f>
        <v>22237689.304159544</v>
      </c>
      <c r="B19" s="169">
        <f>SUM(B7:B18)</f>
        <v>1</v>
      </c>
      <c r="C19" s="209">
        <f>SUM(C7:C18)</f>
        <v>23292265.000000004</v>
      </c>
      <c r="D19" s="169"/>
      <c r="E19" s="66"/>
      <c r="F19" s="67" t="s">
        <v>263</v>
      </c>
      <c r="G19" s="66"/>
      <c r="H19" s="66"/>
      <c r="I19" s="66"/>
      <c r="J19" s="69"/>
      <c r="K19" s="66"/>
    </row>
    <row r="20" spans="1:12" ht="15.75" x14ac:dyDescent="0.25">
      <c r="A20" s="170">
        <v>22237689</v>
      </c>
      <c r="E20" s="222" t="s">
        <v>510</v>
      </c>
      <c r="F20" s="92">
        <f>G18</f>
        <v>23292265.000000004</v>
      </c>
      <c r="G20" s="141" t="s">
        <v>529</v>
      </c>
      <c r="H20" s="142"/>
      <c r="I20" s="142"/>
      <c r="J20" s="142"/>
      <c r="K20" s="142"/>
    </row>
    <row r="21" spans="1:12" ht="15.75" x14ac:dyDescent="0.25">
      <c r="A21" s="170">
        <v>23292265</v>
      </c>
      <c r="B21" s="207">
        <f>A21/A20</f>
        <v>1.0474229134151485</v>
      </c>
      <c r="C21" s="207"/>
      <c r="E21" s="222" t="s">
        <v>510</v>
      </c>
      <c r="F21" s="66" t="s">
        <v>511</v>
      </c>
      <c r="G21" s="103"/>
      <c r="H21" s="103"/>
      <c r="I21" s="103"/>
      <c r="J21" s="103"/>
      <c r="K21" s="103"/>
      <c r="L21" s="86"/>
    </row>
    <row r="22" spans="1:12" ht="15.75" x14ac:dyDescent="0.25">
      <c r="E22" s="66"/>
      <c r="F22" s="109" t="s">
        <v>520</v>
      </c>
      <c r="G22" s="108"/>
      <c r="H22" s="81" t="s">
        <v>263</v>
      </c>
      <c r="I22" s="66"/>
      <c r="J22" s="66"/>
    </row>
    <row r="23" spans="1:12" ht="15.75" x14ac:dyDescent="0.25">
      <c r="E23" s="66"/>
      <c r="F23" s="66" t="s">
        <v>287</v>
      </c>
      <c r="G23" s="110"/>
      <c r="H23" s="81" t="s">
        <v>263</v>
      </c>
      <c r="I23" s="66"/>
      <c r="J23" s="66"/>
    </row>
    <row r="24" spans="1:12" x14ac:dyDescent="0.25">
      <c r="F24" s="186" t="s">
        <v>288</v>
      </c>
      <c r="G24" s="111"/>
    </row>
    <row r="25" spans="1:12" x14ac:dyDescent="0.25">
      <c r="F25" s="186" t="s">
        <v>285</v>
      </c>
      <c r="G25" s="111" t="s">
        <v>263</v>
      </c>
      <c r="I25" s="186" t="s">
        <v>263</v>
      </c>
    </row>
    <row r="26" spans="1:12" x14ac:dyDescent="0.25">
      <c r="F26" s="186" t="s">
        <v>286</v>
      </c>
      <c r="G26" s="111"/>
    </row>
    <row r="27" spans="1:12" x14ac:dyDescent="0.25">
      <c r="G27" s="111"/>
    </row>
    <row r="28" spans="1:12" x14ac:dyDescent="0.25">
      <c r="F28" s="238" t="s">
        <v>263</v>
      </c>
      <c r="G28" s="239">
        <f>SUM(G23:G27)</f>
        <v>0</v>
      </c>
      <c r="H28" s="240" t="s">
        <v>263</v>
      </c>
      <c r="I28" s="241"/>
    </row>
    <row r="29" spans="1:12" ht="15.75" thickBot="1" x14ac:dyDescent="0.3">
      <c r="F29" s="242"/>
      <c r="G29" s="243"/>
      <c r="H29" s="243"/>
      <c r="I29" s="244"/>
    </row>
    <row r="30" spans="1:12" x14ac:dyDescent="0.25">
      <c r="E30" s="112" t="s">
        <v>296</v>
      </c>
      <c r="F30" s="115" t="s">
        <v>263</v>
      </c>
      <c r="G30" s="115"/>
      <c r="H30" s="115"/>
      <c r="I30" s="115"/>
      <c r="J30" s="113"/>
    </row>
    <row r="31" spans="1:12" x14ac:dyDescent="0.25">
      <c r="E31" s="114"/>
      <c r="F31" s="121" t="s">
        <v>263</v>
      </c>
      <c r="G31" s="121"/>
      <c r="H31" s="121"/>
      <c r="I31" s="121"/>
      <c r="J31" s="116"/>
    </row>
    <row r="32" spans="1:12" x14ac:dyDescent="0.25">
      <c r="E32" s="114"/>
      <c r="F32" s="185" t="s">
        <v>502</v>
      </c>
      <c r="G32" s="184"/>
      <c r="H32" s="184"/>
      <c r="I32" s="184"/>
      <c r="J32" s="116"/>
    </row>
    <row r="33" spans="2:11" x14ac:dyDescent="0.25">
      <c r="E33" s="114"/>
      <c r="F33" s="121" t="s">
        <v>531</v>
      </c>
      <c r="G33" s="121"/>
      <c r="H33" s="121"/>
      <c r="I33" s="121"/>
      <c r="J33" s="116"/>
    </row>
    <row r="34" spans="2:11" x14ac:dyDescent="0.25">
      <c r="B34" s="186"/>
      <c r="C34" s="186"/>
      <c r="D34" s="186"/>
      <c r="E34" s="114"/>
      <c r="F34" s="121" t="s">
        <v>532</v>
      </c>
      <c r="G34" s="121"/>
      <c r="H34" s="121"/>
      <c r="I34" s="121"/>
      <c r="J34" s="116"/>
      <c r="K34" s="139"/>
    </row>
    <row r="35" spans="2:11" x14ac:dyDescent="0.25">
      <c r="B35" s="186"/>
      <c r="C35" s="186"/>
      <c r="D35" s="186"/>
      <c r="E35" s="114"/>
      <c r="F35" s="121" t="s">
        <v>533</v>
      </c>
      <c r="G35" s="121"/>
      <c r="H35" s="121"/>
      <c r="I35" s="121"/>
      <c r="J35" s="116"/>
    </row>
    <row r="36" spans="2:11" ht="15.75" thickBot="1" x14ac:dyDescent="0.3">
      <c r="B36" s="186"/>
      <c r="C36" s="186"/>
      <c r="D36" s="186"/>
      <c r="E36" s="117"/>
      <c r="F36" s="183" t="s">
        <v>308</v>
      </c>
      <c r="G36" s="183"/>
      <c r="H36" s="183"/>
      <c r="I36" s="183"/>
      <c r="J36" s="118"/>
    </row>
  </sheetData>
  <mergeCells count="2">
    <mergeCell ref="F4:G4"/>
    <mergeCell ref="H4:I4"/>
  </mergeCells>
  <pageMargins left="0.25" right="0.25" top="0.75" bottom="0.75" header="0.3" footer="0.3"/>
  <pageSetup scale="56" orientation="landscape" r:id="rId1"/>
  <headerFooter>
    <oddFooter>&amp;L&amp;F&amp;CPrinted on &amp;D&amp;RLarry S. Fodor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6"/>
  <sheetViews>
    <sheetView zoomScale="120" zoomScaleNormal="120" workbookViewId="0">
      <selection activeCell="K9" sqref="K9"/>
    </sheetView>
  </sheetViews>
  <sheetFormatPr defaultRowHeight="15" x14ac:dyDescent="0.25"/>
  <sheetData>
    <row r="46" ht="15" customHeight="1" x14ac:dyDescent="0.25"/>
  </sheetData>
  <pageMargins left="0.7" right="0.7" top="0.75" bottom="0.75" header="0.3" footer="0.3"/>
  <pageSetup scale="105" orientation="portrait" r:id="rId1"/>
  <headerFooter>
    <oddFooter>&amp;L&amp;F&amp;CPrinted on &amp;D&amp;RLarry S. Fodor</oddFooter>
  </headerFooter>
  <rowBreaks count="2" manualBreakCount="2">
    <brk id="41" max="16383" man="1"/>
    <brk id="47" max="16383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5"/>
  <sheetViews>
    <sheetView zoomScale="90" zoomScaleNormal="90" workbookViewId="0">
      <selection activeCell="L24" sqref="L24"/>
    </sheetView>
  </sheetViews>
  <sheetFormatPr defaultColWidth="8.85546875" defaultRowHeight="15" x14ac:dyDescent="0.25"/>
  <cols>
    <col min="1" max="1" width="11.140625" style="186" customWidth="1"/>
    <col min="2" max="3" width="12.140625" style="27" customWidth="1"/>
    <col min="4" max="4" width="7.140625" style="27" customWidth="1"/>
    <col min="5" max="5" width="11.7109375" style="186" customWidth="1"/>
    <col min="6" max="6" width="12" style="186" customWidth="1"/>
    <col min="7" max="7" width="12.7109375" style="186" customWidth="1"/>
    <col min="8" max="8" width="11.7109375" style="186" customWidth="1"/>
    <col min="9" max="9" width="12.7109375" style="186" customWidth="1"/>
    <col min="10" max="10" width="6.28515625" style="186" customWidth="1"/>
    <col min="11" max="11" width="18.7109375" style="186" customWidth="1"/>
    <col min="12" max="12" width="10.5703125" style="186" customWidth="1"/>
    <col min="13" max="16384" width="8.85546875" style="186"/>
  </cols>
  <sheetData>
    <row r="2" spans="1:14" ht="15.75" x14ac:dyDescent="0.25">
      <c r="E2" s="73"/>
      <c r="F2" s="197" t="s">
        <v>497</v>
      </c>
      <c r="G2" s="198"/>
      <c r="H2" s="198"/>
      <c r="I2" s="199"/>
      <c r="J2" s="73"/>
      <c r="K2" s="66"/>
    </row>
    <row r="3" spans="1:14" ht="15.75" x14ac:dyDescent="0.25">
      <c r="E3" s="73"/>
      <c r="F3" s="254" t="s">
        <v>25</v>
      </c>
      <c r="G3" s="255"/>
      <c r="H3" s="254" t="s">
        <v>3</v>
      </c>
      <c r="I3" s="255"/>
      <c r="J3" s="73"/>
      <c r="K3" s="66"/>
    </row>
    <row r="4" spans="1:14" ht="47.25" x14ac:dyDescent="0.25">
      <c r="A4" s="5" t="s">
        <v>501</v>
      </c>
      <c r="C4" s="5" t="s">
        <v>499</v>
      </c>
      <c r="E4" s="77" t="s">
        <v>57</v>
      </c>
      <c r="F4" s="76" t="s">
        <v>24</v>
      </c>
      <c r="G4" s="75" t="s">
        <v>23</v>
      </c>
      <c r="H4" s="76" t="s">
        <v>22</v>
      </c>
      <c r="I4" s="75" t="s">
        <v>21</v>
      </c>
      <c r="J4" s="73"/>
      <c r="K4" s="200" t="s">
        <v>20</v>
      </c>
      <c r="L4" s="93"/>
      <c r="M4" s="93"/>
      <c r="N4" s="93"/>
    </row>
    <row r="5" spans="1:14" ht="15.75" x14ac:dyDescent="0.25">
      <c r="A5" s="186" t="s">
        <v>500</v>
      </c>
      <c r="C5" s="27" t="s">
        <v>500</v>
      </c>
      <c r="E5" s="74"/>
      <c r="F5" s="70"/>
      <c r="G5" s="74"/>
      <c r="H5" s="70"/>
      <c r="I5" s="74"/>
      <c r="J5" s="73"/>
      <c r="K5" s="70"/>
    </row>
    <row r="6" spans="1:14" ht="15.75" x14ac:dyDescent="0.25">
      <c r="A6" s="94">
        <v>1633025.0117716338</v>
      </c>
      <c r="B6" s="201">
        <v>7.3566630222698437E-2</v>
      </c>
      <c r="C6" s="208">
        <f>B6*$A$20</f>
        <v>1621139.9383413305</v>
      </c>
      <c r="D6" s="201"/>
      <c r="E6" s="66" t="s">
        <v>19</v>
      </c>
      <c r="F6" s="208">
        <v>1621139.9383413305</v>
      </c>
      <c r="G6" s="72">
        <f>F6</f>
        <v>1621139.9383413305</v>
      </c>
      <c r="H6" s="94">
        <v>1809497.9366666668</v>
      </c>
      <c r="I6" s="95">
        <f>H6</f>
        <v>1809497.9366666668</v>
      </c>
      <c r="J6" s="71"/>
      <c r="K6" s="67">
        <f>+G6-I6</f>
        <v>-188357.99832533626</v>
      </c>
      <c r="L6" s="223"/>
    </row>
    <row r="7" spans="1:14" ht="15.75" x14ac:dyDescent="0.25">
      <c r="A7" s="96">
        <v>1682480.4503303005</v>
      </c>
      <c r="B7" s="201">
        <v>7.5882096107446687E-2</v>
      </c>
      <c r="C7" s="208">
        <f t="shared" ref="C7:C17" si="0">B7*$A$20</f>
        <v>1672164.3526752368</v>
      </c>
      <c r="D7" s="201"/>
      <c r="E7" s="66" t="s">
        <v>18</v>
      </c>
      <c r="F7" s="208">
        <v>1672164.3526752368</v>
      </c>
      <c r="G7" s="67">
        <f t="shared" ref="G7:G17" si="1">G6+F7</f>
        <v>3293304.2910165675</v>
      </c>
      <c r="H7" s="96">
        <v>1366909.8066666666</v>
      </c>
      <c r="I7" s="97">
        <f>I6+H7</f>
        <v>3176407.7433333332</v>
      </c>
      <c r="J7" s="71"/>
      <c r="K7" s="67">
        <f t="shared" ref="K7:K17" si="2">+G7-I7</f>
        <v>116896.54768323433</v>
      </c>
      <c r="L7" s="223"/>
    </row>
    <row r="8" spans="1:14" ht="15.75" x14ac:dyDescent="0.25">
      <c r="A8" s="98">
        <v>1835321.3483850777</v>
      </c>
      <c r="B8" s="201">
        <v>8.3037990293286512E-2</v>
      </c>
      <c r="C8" s="208">
        <f t="shared" si="0"/>
        <v>1829854.1343614738</v>
      </c>
      <c r="D8" s="201"/>
      <c r="E8" s="70" t="s">
        <v>17</v>
      </c>
      <c r="F8" s="210">
        <v>1829854.1343614738</v>
      </c>
      <c r="G8" s="68">
        <f t="shared" si="1"/>
        <v>5123158.4253780413</v>
      </c>
      <c r="H8" s="98">
        <v>1924973.5366666669</v>
      </c>
      <c r="I8" s="99">
        <f>I7+H8</f>
        <v>5101381.28</v>
      </c>
      <c r="J8" s="71"/>
      <c r="K8" s="68">
        <f t="shared" si="2"/>
        <v>21777.145378041081</v>
      </c>
      <c r="L8" s="223"/>
    </row>
    <row r="9" spans="1:14" ht="15.75" x14ac:dyDescent="0.25">
      <c r="A9" s="94">
        <v>1932478.8692405019</v>
      </c>
      <c r="B9" s="201">
        <v>8.7586831260910034E-2</v>
      </c>
      <c r="C9" s="208">
        <f t="shared" si="0"/>
        <v>1930093.9814695236</v>
      </c>
      <c r="D9" s="201"/>
      <c r="E9" s="66" t="s">
        <v>16</v>
      </c>
      <c r="F9" s="208">
        <v>1930093.9814695236</v>
      </c>
      <c r="G9" s="67">
        <f t="shared" si="1"/>
        <v>7053252.4068475645</v>
      </c>
      <c r="H9" s="94">
        <v>1672390.4233333333</v>
      </c>
      <c r="I9" s="97">
        <f t="shared" ref="I9:I17" si="3">I8+H9</f>
        <v>6773771.7033333331</v>
      </c>
      <c r="J9" s="71"/>
      <c r="K9" s="67">
        <f t="shared" si="2"/>
        <v>279480.70351423137</v>
      </c>
      <c r="L9" s="223"/>
    </row>
    <row r="10" spans="1:14" ht="15.75" x14ac:dyDescent="0.25">
      <c r="A10" s="140">
        <v>1879142.3686784247</v>
      </c>
      <c r="B10" s="201">
        <v>8.508965701551649E-2</v>
      </c>
      <c r="C10" s="208">
        <f t="shared" si="0"/>
        <v>1875065.3782842199</v>
      </c>
      <c r="D10" s="201"/>
      <c r="E10" s="66" t="s">
        <v>15</v>
      </c>
      <c r="F10" s="208">
        <v>1875065.3782842199</v>
      </c>
      <c r="G10" s="67">
        <f t="shared" si="1"/>
        <v>8928317.7851317842</v>
      </c>
      <c r="H10" s="140">
        <v>1691870.7366666668</v>
      </c>
      <c r="I10" s="97">
        <f>I9+H10</f>
        <v>8465642.4399999995</v>
      </c>
      <c r="J10" s="71"/>
      <c r="K10" s="67">
        <f t="shared" si="2"/>
        <v>462675.34513178468</v>
      </c>
      <c r="L10" s="223"/>
    </row>
    <row r="11" spans="1:14" ht="15.75" x14ac:dyDescent="0.25">
      <c r="A11" s="100">
        <v>1751702.280495415</v>
      </c>
      <c r="B11" s="201">
        <v>7.9123009359828952E-2</v>
      </c>
      <c r="C11" s="208">
        <f t="shared" si="0"/>
        <v>1743582.2481834574</v>
      </c>
      <c r="D11" s="201"/>
      <c r="E11" s="70" t="s">
        <v>14</v>
      </c>
      <c r="F11" s="210">
        <v>1743582.2481834574</v>
      </c>
      <c r="G11" s="68">
        <f t="shared" si="1"/>
        <v>10671900.033315241</v>
      </c>
      <c r="H11" s="100">
        <v>1700906.9266666668</v>
      </c>
      <c r="I11" s="99">
        <f>I10 +H11</f>
        <v>10166549.366666667</v>
      </c>
      <c r="J11" s="71"/>
      <c r="K11" s="68">
        <f>+G11-I11</f>
        <v>505350.66664857417</v>
      </c>
      <c r="L11" s="223"/>
    </row>
    <row r="12" spans="1:14" ht="15.75" x14ac:dyDescent="0.25">
      <c r="A12" s="140">
        <v>1625161.2599627061</v>
      </c>
      <c r="B12" s="201">
        <v>7.3198455365284132E-2</v>
      </c>
      <c r="C12" s="208">
        <f t="shared" si="0"/>
        <v>1613026.7086903236</v>
      </c>
      <c r="D12" s="201"/>
      <c r="E12" s="66" t="s">
        <v>13</v>
      </c>
      <c r="F12" s="208">
        <v>1613026.7086903236</v>
      </c>
      <c r="G12" s="67">
        <f t="shared" si="1"/>
        <v>12284926.742005564</v>
      </c>
      <c r="H12" s="140">
        <v>1299266.3566666667</v>
      </c>
      <c r="I12" s="97">
        <f t="shared" si="3"/>
        <v>11465815.723333335</v>
      </c>
      <c r="J12" s="71"/>
      <c r="K12" s="67">
        <f t="shared" si="2"/>
        <v>819111.01867222972</v>
      </c>
      <c r="L12" s="223"/>
    </row>
    <row r="13" spans="1:14" ht="15.75" x14ac:dyDescent="0.25">
      <c r="A13" s="140">
        <v>1722771.5694465854</v>
      </c>
      <c r="B13" s="201">
        <v>7.7768495550885386E-2</v>
      </c>
      <c r="C13" s="208">
        <f t="shared" si="0"/>
        <v>1713733.7091642576</v>
      </c>
      <c r="D13" s="201"/>
      <c r="E13" s="66" t="s">
        <v>12</v>
      </c>
      <c r="F13" s="208">
        <v>1713733.7091642576</v>
      </c>
      <c r="G13" s="67">
        <f>G12+F13</f>
        <v>13998660.451169822</v>
      </c>
      <c r="H13" s="140">
        <v>1593426.3266666667</v>
      </c>
      <c r="I13" s="97">
        <f>I12+H13</f>
        <v>13059242.050000001</v>
      </c>
      <c r="J13" s="71"/>
      <c r="K13" s="67">
        <f t="shared" si="2"/>
        <v>939418.40116982162</v>
      </c>
    </row>
    <row r="14" spans="1:14" ht="15.75" x14ac:dyDescent="0.25">
      <c r="A14" s="100">
        <v>1951223.3236771249</v>
      </c>
      <c r="B14" s="201">
        <v>8.8464432310281643E-2</v>
      </c>
      <c r="C14" s="208">
        <f t="shared" si="0"/>
        <v>1949433.1044762426</v>
      </c>
      <c r="D14" s="201"/>
      <c r="E14" s="70" t="s">
        <v>11</v>
      </c>
      <c r="F14" s="210">
        <v>1949433.1044762426</v>
      </c>
      <c r="G14" s="68">
        <f t="shared" si="1"/>
        <v>15948093.555646066</v>
      </c>
      <c r="H14" s="100">
        <v>1513038.5666666669</v>
      </c>
      <c r="I14" s="99">
        <f t="shared" si="3"/>
        <v>14572280.616666667</v>
      </c>
      <c r="J14" s="71"/>
      <c r="K14" s="68">
        <f t="shared" si="2"/>
        <v>1375812.9389793985</v>
      </c>
    </row>
    <row r="15" spans="1:14" ht="15.75" x14ac:dyDescent="0.25">
      <c r="A15" s="140">
        <v>2215893.1327430401</v>
      </c>
      <c r="B15" s="201">
        <v>0.10085607075239114</v>
      </c>
      <c r="C15" s="208">
        <f t="shared" si="0"/>
        <v>2222499.5738683837</v>
      </c>
      <c r="D15" s="201"/>
      <c r="E15" s="66" t="s">
        <v>10</v>
      </c>
      <c r="F15" s="208">
        <v>2222499.5738683837</v>
      </c>
      <c r="G15" s="67">
        <f t="shared" si="1"/>
        <v>18170593.129514448</v>
      </c>
      <c r="H15" s="140">
        <v>1630281.33</v>
      </c>
      <c r="I15" s="97">
        <f t="shared" si="3"/>
        <v>16202561.946666667</v>
      </c>
      <c r="J15" s="71"/>
      <c r="K15" s="67">
        <f t="shared" si="2"/>
        <v>1968031.1828477811</v>
      </c>
    </row>
    <row r="16" spans="1:14" ht="15.75" x14ac:dyDescent="0.25">
      <c r="A16" s="140">
        <v>2119530.5546547687</v>
      </c>
      <c r="B16" s="201">
        <v>9.6344448398358234E-2</v>
      </c>
      <c r="C16" s="208">
        <f t="shared" si="0"/>
        <v>2123079.8891187129</v>
      </c>
      <c r="D16" s="201"/>
      <c r="E16" s="66" t="s">
        <v>9</v>
      </c>
      <c r="F16" s="208">
        <v>2123079.8891187129</v>
      </c>
      <c r="G16" s="67">
        <f t="shared" si="1"/>
        <v>20293673.018633161</v>
      </c>
      <c r="H16" s="140">
        <v>1607037.1099999999</v>
      </c>
      <c r="I16" s="97">
        <f t="shared" si="3"/>
        <v>17809599.056666669</v>
      </c>
      <c r="J16" s="71"/>
      <c r="K16" s="67">
        <f t="shared" si="2"/>
        <v>2484073.9619664922</v>
      </c>
    </row>
    <row r="17" spans="1:12" ht="15.75" x14ac:dyDescent="0.25">
      <c r="A17" s="100">
        <v>1750823.8809399854</v>
      </c>
      <c r="B17" s="202">
        <v>7.908188336311249E-2</v>
      </c>
      <c r="C17" s="210">
        <f t="shared" si="0"/>
        <v>1742675.9813668407</v>
      </c>
      <c r="D17" s="202"/>
      <c r="E17" s="70" t="s">
        <v>8</v>
      </c>
      <c r="F17" s="210">
        <v>1742675.9813668407</v>
      </c>
      <c r="G17" s="68">
        <f t="shared" si="1"/>
        <v>22036349</v>
      </c>
      <c r="H17" s="100">
        <v>1475993.22</v>
      </c>
      <c r="I17" s="99">
        <f t="shared" si="3"/>
        <v>19285592.276666667</v>
      </c>
      <c r="J17" s="71" t="s">
        <v>263</v>
      </c>
      <c r="K17" s="68">
        <f t="shared" si="2"/>
        <v>2750756.7233333327</v>
      </c>
    </row>
    <row r="18" spans="1:12" ht="15.75" x14ac:dyDescent="0.25">
      <c r="A18" s="170">
        <f>SUM(A6:A17)</f>
        <v>22099554.050325569</v>
      </c>
      <c r="B18" s="169">
        <f>SUM(B6:B17)</f>
        <v>1</v>
      </c>
      <c r="C18" s="209">
        <f>SUM(C6:C17)</f>
        <v>22036349</v>
      </c>
      <c r="D18" s="169"/>
      <c r="E18" s="66"/>
      <c r="F18" s="67" t="s">
        <v>263</v>
      </c>
      <c r="G18" s="66"/>
      <c r="H18" s="66"/>
      <c r="I18" s="66"/>
      <c r="J18" s="69"/>
      <c r="K18" s="66"/>
    </row>
    <row r="19" spans="1:12" ht="15.75" x14ac:dyDescent="0.25">
      <c r="E19" s="222" t="s">
        <v>510</v>
      </c>
      <c r="F19" s="92">
        <f>G17</f>
        <v>22036349</v>
      </c>
      <c r="G19" s="141" t="s">
        <v>353</v>
      </c>
      <c r="H19" s="142"/>
      <c r="I19" s="142"/>
      <c r="J19" s="103"/>
      <c r="K19" s="137"/>
    </row>
    <row r="20" spans="1:12" ht="15.75" x14ac:dyDescent="0.25">
      <c r="A20" s="170">
        <v>22036349</v>
      </c>
      <c r="B20" s="207">
        <f>A20/A18</f>
        <v>0.99713998526026193</v>
      </c>
      <c r="C20" s="207"/>
      <c r="E20" s="222" t="s">
        <v>510</v>
      </c>
      <c r="F20" s="66" t="s">
        <v>511</v>
      </c>
      <c r="G20" s="103"/>
      <c r="H20" s="103"/>
      <c r="I20" s="103"/>
      <c r="J20" s="103"/>
      <c r="K20" s="137"/>
      <c r="L20" s="86"/>
    </row>
    <row r="21" spans="1:12" ht="15.75" x14ac:dyDescent="0.25">
      <c r="E21" s="66"/>
      <c r="F21" s="109" t="s">
        <v>498</v>
      </c>
      <c r="G21" s="108"/>
      <c r="H21" s="81" t="s">
        <v>263</v>
      </c>
      <c r="I21" s="66"/>
      <c r="J21" s="66"/>
      <c r="K21" s="137"/>
    </row>
    <row r="22" spans="1:12" ht="15.75" x14ac:dyDescent="0.25">
      <c r="E22" s="66"/>
      <c r="F22" s="66" t="s">
        <v>287</v>
      </c>
      <c r="G22" s="110"/>
      <c r="H22" s="81" t="s">
        <v>263</v>
      </c>
      <c r="I22" s="66"/>
      <c r="J22" s="66"/>
      <c r="K22" s="137"/>
    </row>
    <row r="23" spans="1:12" ht="15.75" x14ac:dyDescent="0.25">
      <c r="F23" s="186" t="s">
        <v>288</v>
      </c>
      <c r="G23" s="111"/>
      <c r="K23" s="138"/>
    </row>
    <row r="24" spans="1:12" ht="15.75" x14ac:dyDescent="0.25">
      <c r="F24" s="186" t="s">
        <v>285</v>
      </c>
      <c r="G24" s="111" t="s">
        <v>263</v>
      </c>
      <c r="I24" s="186" t="s">
        <v>263</v>
      </c>
      <c r="K24" s="138"/>
    </row>
    <row r="25" spans="1:12" ht="15.75" x14ac:dyDescent="0.25">
      <c r="F25" s="186" t="s">
        <v>286</v>
      </c>
      <c r="G25" s="111"/>
      <c r="K25" s="138"/>
    </row>
    <row r="26" spans="1:12" ht="15.75" x14ac:dyDescent="0.25">
      <c r="G26" s="111"/>
      <c r="K26" s="138"/>
    </row>
    <row r="27" spans="1:12" ht="15.75" x14ac:dyDescent="0.25">
      <c r="F27" s="162" t="s">
        <v>263</v>
      </c>
      <c r="G27" s="163">
        <f>SUM(G22:G26)</f>
        <v>0</v>
      </c>
      <c r="H27" s="164" t="s">
        <v>263</v>
      </c>
      <c r="I27" s="165"/>
      <c r="K27" s="138"/>
    </row>
    <row r="28" spans="1:12" ht="15.75" thickBot="1" x14ac:dyDescent="0.3">
      <c r="F28" s="166"/>
      <c r="G28" s="167"/>
      <c r="H28" s="167"/>
      <c r="I28" s="168"/>
      <c r="K28" s="225"/>
    </row>
    <row r="29" spans="1:12" x14ac:dyDescent="0.25">
      <c r="E29" s="112" t="s">
        <v>296</v>
      </c>
      <c r="F29" s="115" t="s">
        <v>263</v>
      </c>
      <c r="G29" s="115"/>
      <c r="H29" s="115"/>
      <c r="I29" s="115"/>
      <c r="J29" s="113"/>
      <c r="K29" s="225"/>
    </row>
    <row r="30" spans="1:12" x14ac:dyDescent="0.25">
      <c r="E30" s="114"/>
      <c r="F30" s="203" t="s">
        <v>263</v>
      </c>
      <c r="G30" s="203"/>
      <c r="H30" s="203"/>
      <c r="I30" s="203"/>
      <c r="J30" s="116"/>
      <c r="K30" s="225"/>
    </row>
    <row r="31" spans="1:12" x14ac:dyDescent="0.25">
      <c r="E31" s="114"/>
      <c r="F31" s="204" t="s">
        <v>502</v>
      </c>
      <c r="G31" s="205"/>
      <c r="H31" s="205"/>
      <c r="I31" s="205"/>
      <c r="J31" s="116"/>
      <c r="K31" s="225"/>
    </row>
    <row r="32" spans="1:12" x14ac:dyDescent="0.25">
      <c r="E32" s="114"/>
      <c r="F32" s="203" t="s">
        <v>517</v>
      </c>
      <c r="G32" s="203"/>
      <c r="H32" s="203"/>
      <c r="I32" s="203"/>
      <c r="J32" s="116"/>
      <c r="K32" s="139"/>
    </row>
    <row r="33" spans="5:11" s="186" customFormat="1" x14ac:dyDescent="0.25">
      <c r="E33" s="114"/>
      <c r="F33" s="203"/>
      <c r="G33" s="203"/>
      <c r="H33" s="203"/>
      <c r="I33" s="203"/>
      <c r="J33" s="116"/>
      <c r="K33" s="139"/>
    </row>
    <row r="34" spans="5:11" s="186" customFormat="1" x14ac:dyDescent="0.25">
      <c r="E34" s="114"/>
      <c r="F34" s="203" t="s">
        <v>483</v>
      </c>
      <c r="G34" s="203"/>
      <c r="H34" s="203"/>
      <c r="I34" s="203"/>
      <c r="J34" s="116"/>
    </row>
    <row r="35" spans="5:11" s="186" customFormat="1" ht="15.75" thickBot="1" x14ac:dyDescent="0.3">
      <c r="E35" s="117"/>
      <c r="F35" s="206" t="s">
        <v>308</v>
      </c>
      <c r="G35" s="206"/>
      <c r="H35" s="206"/>
      <c r="I35" s="206"/>
      <c r="J35" s="118"/>
    </row>
  </sheetData>
  <mergeCells count="2">
    <mergeCell ref="F3:G3"/>
    <mergeCell ref="H3:I3"/>
  </mergeCells>
  <pageMargins left="0.25" right="0.25" top="0.75" bottom="0.75" header="0.3" footer="0.3"/>
  <pageSetup scale="56" orientation="landscape" r:id="rId1"/>
  <headerFooter>
    <oddFooter>&amp;L&amp;F&amp;CPrinted on &amp;D&amp;RLarry S. Fodor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zoomScale="90" zoomScaleNormal="90" workbookViewId="0">
      <selection activeCell="J30" sqref="J30"/>
    </sheetView>
  </sheetViews>
  <sheetFormatPr defaultRowHeight="15" x14ac:dyDescent="0.25"/>
  <cols>
    <col min="1" max="1" width="11.140625" customWidth="1"/>
    <col min="2" max="2" width="12.140625" style="27" customWidth="1"/>
    <col min="3" max="3" width="7.140625" style="27" customWidth="1"/>
    <col min="4" max="4" width="11.7109375" customWidth="1"/>
    <col min="5" max="5" width="12" customWidth="1"/>
    <col min="6" max="6" width="12.7109375" customWidth="1"/>
    <col min="7" max="7" width="11.7109375" customWidth="1"/>
    <col min="8" max="8" width="12.7109375" customWidth="1"/>
    <col min="9" max="9" width="6.28515625" customWidth="1"/>
    <col min="10" max="10" width="18.7109375" customWidth="1"/>
  </cols>
  <sheetData>
    <row r="2" spans="1:13" ht="15.75" x14ac:dyDescent="0.25">
      <c r="D2" s="73"/>
      <c r="E2" s="158" t="s">
        <v>415</v>
      </c>
      <c r="F2" s="159"/>
      <c r="G2" s="159"/>
      <c r="H2" s="160"/>
      <c r="I2" s="73"/>
      <c r="J2" s="66"/>
    </row>
    <row r="3" spans="1:13" ht="15.75" x14ac:dyDescent="0.25">
      <c r="D3" s="73"/>
      <c r="E3" s="254" t="s">
        <v>25</v>
      </c>
      <c r="F3" s="255"/>
      <c r="G3" s="254" t="s">
        <v>3</v>
      </c>
      <c r="H3" s="255"/>
      <c r="I3" s="73"/>
      <c r="J3" s="66"/>
    </row>
    <row r="4" spans="1:13" ht="47.25" x14ac:dyDescent="0.25">
      <c r="D4" s="77" t="s">
        <v>57</v>
      </c>
      <c r="E4" s="76" t="s">
        <v>24</v>
      </c>
      <c r="F4" s="75" t="s">
        <v>23</v>
      </c>
      <c r="G4" s="76" t="s">
        <v>22</v>
      </c>
      <c r="H4" s="75" t="s">
        <v>21</v>
      </c>
      <c r="I4" s="73"/>
      <c r="J4" s="161" t="s">
        <v>20</v>
      </c>
      <c r="K4" s="93"/>
      <c r="L4" s="93"/>
      <c r="M4" s="93"/>
    </row>
    <row r="5" spans="1:13" ht="15.75" x14ac:dyDescent="0.25">
      <c r="D5" s="74"/>
      <c r="E5" s="70"/>
      <c r="F5" s="74"/>
      <c r="G5" s="70"/>
      <c r="H5" s="74"/>
      <c r="I5" s="73"/>
      <c r="J5" s="70"/>
    </row>
    <row r="6" spans="1:13" ht="15.75" x14ac:dyDescent="0.25">
      <c r="A6" s="94">
        <v>1262105.7766666668</v>
      </c>
      <c r="B6" s="7">
        <f>A6/$A$18</f>
        <v>6.5147596268420316E-2</v>
      </c>
      <c r="C6" s="7"/>
      <c r="D6" s="66" t="s">
        <v>19</v>
      </c>
      <c r="E6" s="72">
        <f>B6*$E$19</f>
        <v>1335809.0503987879</v>
      </c>
      <c r="F6" s="72">
        <f>E6</f>
        <v>1335809.0503987879</v>
      </c>
      <c r="G6" s="94">
        <v>1636959.8333333333</v>
      </c>
      <c r="H6" s="95">
        <f>G6</f>
        <v>1636959.8333333333</v>
      </c>
      <c r="I6" s="71"/>
      <c r="J6" s="67">
        <f>+F6-H6</f>
        <v>-301150.78293454531</v>
      </c>
    </row>
    <row r="7" spans="1:13" ht="15.75" x14ac:dyDescent="0.25">
      <c r="A7" s="96">
        <v>1372854.3166666667</v>
      </c>
      <c r="B7" s="7">
        <f t="shared" ref="B7:B17" si="0">A7/$A$18</f>
        <v>7.0864233736234183E-2</v>
      </c>
      <c r="C7" s="7"/>
      <c r="D7" s="66" t="s">
        <v>18</v>
      </c>
      <c r="E7" s="67">
        <f t="shared" ref="E7:E17" si="1">B7*$E$19</f>
        <v>1453024.9801453196</v>
      </c>
      <c r="F7" s="67">
        <f t="shared" ref="F7:F17" si="2">F6+E7</f>
        <v>2788834.0305441078</v>
      </c>
      <c r="G7" s="96">
        <v>1561126.6249999998</v>
      </c>
      <c r="H7" s="97">
        <f>H6+G7</f>
        <v>3198086.458333333</v>
      </c>
      <c r="I7" s="71"/>
      <c r="J7" s="67">
        <f t="shared" ref="J7:J17" si="3">+F7-H7</f>
        <v>-409252.42778922524</v>
      </c>
    </row>
    <row r="8" spans="1:13" ht="15.75" x14ac:dyDescent="0.25">
      <c r="A8" s="98">
        <v>1600219.0216666667</v>
      </c>
      <c r="B8" s="7">
        <f t="shared" si="0"/>
        <v>8.2600384763249518E-2</v>
      </c>
      <c r="C8" s="7"/>
      <c r="D8" s="70" t="s">
        <v>17</v>
      </c>
      <c r="E8" s="68">
        <f t="shared" si="1"/>
        <v>1693667.1167199505</v>
      </c>
      <c r="F8" s="68">
        <f t="shared" si="2"/>
        <v>4482501.1472640578</v>
      </c>
      <c r="G8" s="98">
        <v>1737250.7750000001</v>
      </c>
      <c r="H8" s="99">
        <f>H7+G8</f>
        <v>4935337.2333333334</v>
      </c>
      <c r="I8" s="71"/>
      <c r="J8" s="68">
        <f t="shared" si="3"/>
        <v>-452836.08606927563</v>
      </c>
    </row>
    <row r="9" spans="1:13" ht="15.75" x14ac:dyDescent="0.25">
      <c r="A9" s="94">
        <v>1771438.0016666669</v>
      </c>
      <c r="B9" s="7">
        <f t="shared" si="0"/>
        <v>9.1438395957517862E-2</v>
      </c>
      <c r="C9" s="7"/>
      <c r="D9" s="66" t="s">
        <v>16</v>
      </c>
      <c r="E9" s="67">
        <f t="shared" si="1"/>
        <v>1874884.7827131355</v>
      </c>
      <c r="F9" s="67">
        <f t="shared" si="2"/>
        <v>6357385.9299771935</v>
      </c>
      <c r="G9" s="94">
        <v>2273933.6066666665</v>
      </c>
      <c r="H9" s="97">
        <f t="shared" ref="H9:H17" si="4">H8+G9</f>
        <v>7209270.8399999999</v>
      </c>
      <c r="I9" s="71"/>
      <c r="J9" s="67">
        <f t="shared" si="3"/>
        <v>-851884.91002280638</v>
      </c>
    </row>
    <row r="10" spans="1:13" ht="15.75" x14ac:dyDescent="0.25">
      <c r="A10" s="140">
        <v>1699426.0266666666</v>
      </c>
      <c r="B10" s="7">
        <f t="shared" si="0"/>
        <v>8.7721269262969317E-2</v>
      </c>
      <c r="C10" s="7"/>
      <c r="D10" s="66" t="s">
        <v>15</v>
      </c>
      <c r="E10" s="67">
        <f t="shared" si="1"/>
        <v>1798667.5196908957</v>
      </c>
      <c r="F10" s="67">
        <f t="shared" si="2"/>
        <v>8156053.4496680889</v>
      </c>
      <c r="G10" s="140">
        <v>2035592.4366666668</v>
      </c>
      <c r="H10" s="97">
        <f>H9+G10</f>
        <v>9244863.2766666673</v>
      </c>
      <c r="I10" s="71"/>
      <c r="J10" s="67">
        <f t="shared" si="3"/>
        <v>-1088809.8269985784</v>
      </c>
    </row>
    <row r="11" spans="1:13" ht="15.75" x14ac:dyDescent="0.25">
      <c r="A11" s="100">
        <v>1629901.4616666667</v>
      </c>
      <c r="B11" s="7">
        <f t="shared" si="0"/>
        <v>8.4132538131954301E-2</v>
      </c>
      <c r="C11" s="7"/>
      <c r="D11" s="70" t="s">
        <v>14</v>
      </c>
      <c r="E11" s="68">
        <f t="shared" si="1"/>
        <v>1725082.9241133991</v>
      </c>
      <c r="F11" s="68">
        <f t="shared" si="2"/>
        <v>9881136.3737814873</v>
      </c>
      <c r="G11" s="100">
        <v>2197900.8766666665</v>
      </c>
      <c r="H11" s="99">
        <f>H10 +G11</f>
        <v>11442764.153333334</v>
      </c>
      <c r="I11" s="71"/>
      <c r="J11" s="68">
        <f>+F11-H11</f>
        <v>-1561627.7795518469</v>
      </c>
    </row>
    <row r="12" spans="1:13" ht="15.75" x14ac:dyDescent="0.25">
      <c r="A12" s="140">
        <v>1556468.3749999998</v>
      </c>
      <c r="B12" s="7">
        <f t="shared" si="0"/>
        <v>8.0342056247354368E-2</v>
      </c>
      <c r="C12" s="7"/>
      <c r="D12" s="66" t="s">
        <v>13</v>
      </c>
      <c r="E12" s="67">
        <f t="shared" si="1"/>
        <v>1647361.5606733842</v>
      </c>
      <c r="F12" s="67">
        <f t="shared" si="2"/>
        <v>11528497.934454871</v>
      </c>
      <c r="G12" s="140">
        <v>1626166.6900000002</v>
      </c>
      <c r="H12" s="97">
        <f t="shared" si="4"/>
        <v>13068930.843333334</v>
      </c>
      <c r="I12" s="71"/>
      <c r="J12" s="67">
        <f t="shared" si="3"/>
        <v>-1540432.9088784624</v>
      </c>
    </row>
    <row r="13" spans="1:13" ht="15.75" x14ac:dyDescent="0.25">
      <c r="A13" s="140">
        <v>1574875.0099999998</v>
      </c>
      <c r="B13" s="7">
        <f t="shared" si="0"/>
        <v>8.1292173145485702E-2</v>
      </c>
      <c r="C13" s="7"/>
      <c r="D13" s="66" t="s">
        <v>12</v>
      </c>
      <c r="E13" s="67">
        <f t="shared" si="1"/>
        <v>1666843.0891434667</v>
      </c>
      <c r="F13" s="67">
        <f>F12+E13</f>
        <v>13195341.023598338</v>
      </c>
      <c r="G13" s="140">
        <v>1644664.35</v>
      </c>
      <c r="H13" s="97">
        <f>H12+G13</f>
        <v>14713595.193333333</v>
      </c>
      <c r="I13" s="71"/>
      <c r="J13" s="67">
        <f t="shared" si="3"/>
        <v>-1518254.1697349958</v>
      </c>
    </row>
    <row r="14" spans="1:13" ht="15.75" x14ac:dyDescent="0.25">
      <c r="A14" s="100">
        <v>1604200.5999999999</v>
      </c>
      <c r="B14" s="7">
        <f t="shared" si="0"/>
        <v>8.2805906568605758E-2</v>
      </c>
      <c r="C14" s="7"/>
      <c r="D14" s="70" t="s">
        <v>11</v>
      </c>
      <c r="E14" s="68">
        <f t="shared" si="1"/>
        <v>1697881.2075440849</v>
      </c>
      <c r="F14" s="68">
        <f t="shared" si="2"/>
        <v>14893222.231142422</v>
      </c>
      <c r="G14" s="100">
        <v>1696415.0599999998</v>
      </c>
      <c r="H14" s="99">
        <f t="shared" si="4"/>
        <v>16410010.253333334</v>
      </c>
      <c r="I14" s="71"/>
      <c r="J14" s="68">
        <f t="shared" si="3"/>
        <v>-1516788.0221909117</v>
      </c>
    </row>
    <row r="15" spans="1:13" ht="15.75" x14ac:dyDescent="0.25">
      <c r="A15" s="140">
        <v>1925202.3499999996</v>
      </c>
      <c r="B15" s="7">
        <f t="shared" si="0"/>
        <v>9.9375430927877872E-2</v>
      </c>
      <c r="C15" s="7"/>
      <c r="D15" s="66" t="s">
        <v>10</v>
      </c>
      <c r="E15" s="67">
        <f t="shared" si="1"/>
        <v>2037628.5177706017</v>
      </c>
      <c r="F15" s="67">
        <f t="shared" si="2"/>
        <v>16930850.748913024</v>
      </c>
      <c r="G15" s="140">
        <v>1740752.7699999998</v>
      </c>
      <c r="H15" s="97">
        <f t="shared" si="4"/>
        <v>18150763.023333333</v>
      </c>
      <c r="I15" s="71"/>
      <c r="J15" s="67">
        <f t="shared" si="3"/>
        <v>-1219912.2744203098</v>
      </c>
    </row>
    <row r="16" spans="1:13" ht="15.75" x14ac:dyDescent="0.25">
      <c r="A16" s="125">
        <v>1782273.46</v>
      </c>
      <c r="B16" s="7">
        <f t="shared" si="0"/>
        <v>9.199770253699302E-2</v>
      </c>
      <c r="C16" s="7"/>
      <c r="D16" s="66" t="s">
        <v>9</v>
      </c>
      <c r="E16" s="67">
        <f t="shared" si="1"/>
        <v>1886353.0000166902</v>
      </c>
      <c r="F16" s="67">
        <f t="shared" si="2"/>
        <v>18817203.748929713</v>
      </c>
      <c r="G16" s="140">
        <v>1635816.8499999999</v>
      </c>
      <c r="H16" s="97">
        <f t="shared" si="4"/>
        <v>19786579.873333335</v>
      </c>
      <c r="I16" s="71"/>
      <c r="J16" s="67">
        <f t="shared" si="3"/>
        <v>-969376.124403622</v>
      </c>
    </row>
    <row r="17" spans="1:11" ht="15.75" x14ac:dyDescent="0.25">
      <c r="A17" s="148">
        <v>1594057</v>
      </c>
      <c r="B17" s="7">
        <f t="shared" si="0"/>
        <v>8.2282312453337822E-2</v>
      </c>
      <c r="C17" s="7"/>
      <c r="D17" s="70" t="s">
        <v>8</v>
      </c>
      <c r="E17" s="68">
        <f t="shared" si="1"/>
        <v>1687145.251070285</v>
      </c>
      <c r="F17" s="68">
        <f t="shared" si="2"/>
        <v>20504348.999999996</v>
      </c>
      <c r="G17" s="100">
        <v>1662422</v>
      </c>
      <c r="H17" s="99">
        <f t="shared" si="4"/>
        <v>21449001.873333335</v>
      </c>
      <c r="I17" s="71" t="s">
        <v>263</v>
      </c>
      <c r="J17" s="68">
        <f t="shared" si="3"/>
        <v>-944652.87333333865</v>
      </c>
    </row>
    <row r="18" spans="1:11" ht="15.75" x14ac:dyDescent="0.25">
      <c r="A18" s="170">
        <f>SUM(A6:A17)</f>
        <v>19373021.399999999</v>
      </c>
      <c r="B18" s="169">
        <f>SUM(B6:B17)</f>
        <v>1</v>
      </c>
      <c r="C18" s="169"/>
      <c r="D18" s="66"/>
      <c r="E18" s="67" t="s">
        <v>263</v>
      </c>
      <c r="F18" s="66"/>
      <c r="G18" s="66"/>
      <c r="H18" s="66"/>
      <c r="I18" s="69"/>
      <c r="J18" s="66"/>
    </row>
    <row r="19" spans="1:11" ht="15.75" x14ac:dyDescent="0.25">
      <c r="D19" s="66"/>
      <c r="E19" s="92">
        <v>20504349</v>
      </c>
      <c r="F19" s="141" t="s">
        <v>353</v>
      </c>
      <c r="G19" s="142"/>
      <c r="H19" s="142"/>
      <c r="I19" s="103"/>
      <c r="J19" s="137"/>
    </row>
    <row r="20" spans="1:11" ht="15.75" x14ac:dyDescent="0.25">
      <c r="D20" s="66"/>
      <c r="E20" s="66"/>
      <c r="F20" s="103" t="s">
        <v>263</v>
      </c>
      <c r="G20" s="103"/>
      <c r="H20" s="103"/>
      <c r="I20" s="103"/>
      <c r="J20" s="137"/>
      <c r="K20" s="86"/>
    </row>
    <row r="21" spans="1:11" ht="15.75" x14ac:dyDescent="0.25">
      <c r="D21" s="66"/>
      <c r="E21" s="109" t="s">
        <v>416</v>
      </c>
      <c r="F21" s="108"/>
      <c r="G21" s="81" t="s">
        <v>263</v>
      </c>
      <c r="H21" s="66"/>
      <c r="I21" s="66"/>
      <c r="J21" s="137"/>
    </row>
    <row r="22" spans="1:11" ht="15.75" x14ac:dyDescent="0.25">
      <c r="D22" s="66"/>
      <c r="E22" s="66" t="s">
        <v>287</v>
      </c>
      <c r="F22" s="110"/>
      <c r="G22" s="81" t="s">
        <v>263</v>
      </c>
      <c r="H22" s="66"/>
      <c r="I22" s="66"/>
      <c r="J22" s="137"/>
    </row>
    <row r="23" spans="1:11" ht="15.75" x14ac:dyDescent="0.25">
      <c r="E23" t="s">
        <v>288</v>
      </c>
      <c r="F23" s="111"/>
      <c r="J23" s="138"/>
    </row>
    <row r="24" spans="1:11" ht="15.75" x14ac:dyDescent="0.25">
      <c r="E24" t="s">
        <v>285</v>
      </c>
      <c r="F24" s="111">
        <v>28750</v>
      </c>
      <c r="H24" t="s">
        <v>263</v>
      </c>
      <c r="J24" s="138"/>
    </row>
    <row r="25" spans="1:11" ht="15.75" x14ac:dyDescent="0.25">
      <c r="E25" t="s">
        <v>286</v>
      </c>
      <c r="F25" s="111"/>
      <c r="J25" s="138"/>
    </row>
    <row r="26" spans="1:11" ht="15.75" x14ac:dyDescent="0.25">
      <c r="F26" s="111"/>
      <c r="J26" s="138"/>
    </row>
    <row r="27" spans="1:11" ht="15.75" x14ac:dyDescent="0.25">
      <c r="E27" s="162" t="s">
        <v>263</v>
      </c>
      <c r="F27" s="163">
        <f>SUM(F22:F26)</f>
        <v>28750</v>
      </c>
      <c r="G27" s="164" t="s">
        <v>263</v>
      </c>
      <c r="H27" s="165"/>
      <c r="J27" s="138"/>
    </row>
    <row r="28" spans="1:11" ht="15.75" thickBot="1" x14ac:dyDescent="0.3">
      <c r="E28" s="166"/>
      <c r="F28" s="167"/>
      <c r="G28" s="167"/>
      <c r="H28" s="168"/>
      <c r="J28" s="139"/>
    </row>
    <row r="29" spans="1:11" x14ac:dyDescent="0.25">
      <c r="D29" s="112" t="s">
        <v>296</v>
      </c>
      <c r="E29" s="115" t="s">
        <v>263</v>
      </c>
      <c r="F29" s="115"/>
      <c r="G29" s="115"/>
      <c r="H29" s="115"/>
      <c r="I29" s="113"/>
      <c r="J29" s="139"/>
    </row>
    <row r="30" spans="1:11" x14ac:dyDescent="0.25">
      <c r="D30" s="114"/>
      <c r="E30" s="121" t="s">
        <v>263</v>
      </c>
      <c r="F30" s="121"/>
      <c r="G30" s="121"/>
      <c r="H30" s="121"/>
      <c r="I30" s="116"/>
      <c r="J30" s="139"/>
    </row>
    <row r="31" spans="1:11" x14ac:dyDescent="0.25">
      <c r="D31" s="114"/>
      <c r="E31" s="185" t="s">
        <v>480</v>
      </c>
      <c r="F31" s="184"/>
      <c r="G31" s="184"/>
      <c r="H31" s="184"/>
      <c r="I31" s="116"/>
      <c r="J31" s="139"/>
    </row>
    <row r="32" spans="1:11" x14ac:dyDescent="0.25">
      <c r="D32" s="114"/>
      <c r="E32" s="121" t="s">
        <v>481</v>
      </c>
      <c r="F32" s="121"/>
      <c r="G32" s="121"/>
      <c r="H32" s="121"/>
      <c r="I32" s="116"/>
      <c r="J32" s="139"/>
    </row>
    <row r="33" spans="4:10" customFormat="1" x14ac:dyDescent="0.25">
      <c r="D33" s="114"/>
      <c r="E33" s="121" t="s">
        <v>482</v>
      </c>
      <c r="F33" s="121"/>
      <c r="G33" s="121"/>
      <c r="H33" s="121"/>
      <c r="I33" s="116"/>
      <c r="J33" s="139"/>
    </row>
    <row r="34" spans="4:10" customFormat="1" x14ac:dyDescent="0.25">
      <c r="D34" s="114"/>
      <c r="E34" s="121" t="s">
        <v>483</v>
      </c>
      <c r="F34" s="121"/>
      <c r="G34" s="121"/>
      <c r="H34" s="121"/>
      <c r="I34" s="116"/>
    </row>
    <row r="35" spans="4:10" customFormat="1" ht="15.75" thickBot="1" x14ac:dyDescent="0.3">
      <c r="D35" s="117"/>
      <c r="E35" s="183" t="s">
        <v>308</v>
      </c>
      <c r="F35" s="183"/>
      <c r="G35" s="183"/>
      <c r="H35" s="183"/>
      <c r="I35" s="118"/>
    </row>
  </sheetData>
  <mergeCells count="2">
    <mergeCell ref="E3:F3"/>
    <mergeCell ref="G3:H3"/>
  </mergeCells>
  <pageMargins left="0.7" right="0.7" top="0.75" bottom="0.75" header="0.3" footer="0.3"/>
  <pageSetup scale="79" fitToWidth="2" orientation="landscape" r:id="rId1"/>
  <headerFooter>
    <oddFooter>&amp;L&amp;F&amp;CPrinted on &amp;D,  &amp;P of &amp;N&amp;RLarry S. Fodor</oddFooter>
  </headerFooter>
  <colBreaks count="1" manualBreakCount="1">
    <brk id="11" max="3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="80" zoomScaleNormal="80" workbookViewId="0">
      <selection activeCell="C37" sqref="C37"/>
    </sheetView>
  </sheetViews>
  <sheetFormatPr defaultRowHeight="15" x14ac:dyDescent="0.25"/>
  <cols>
    <col min="1" max="1" width="8.28515625" customWidth="1"/>
    <col min="2" max="2" width="10.42578125" customWidth="1"/>
    <col min="3" max="3" width="15" bestFit="1" customWidth="1"/>
  </cols>
  <sheetData>
    <row r="1" spans="1:8" s="28" customFormat="1" ht="15.75" x14ac:dyDescent="0.25">
      <c r="A1" s="28" t="s">
        <v>443</v>
      </c>
      <c r="F1" s="28" t="s">
        <v>28</v>
      </c>
      <c r="H1" s="28" t="s">
        <v>29</v>
      </c>
    </row>
    <row r="2" spans="1:8" x14ac:dyDescent="0.25">
      <c r="C2" t="s">
        <v>26</v>
      </c>
    </row>
    <row r="3" spans="1:8" hidden="1" x14ac:dyDescent="0.25">
      <c r="A3" s="12">
        <v>41699</v>
      </c>
      <c r="B3" s="27">
        <v>4.2</v>
      </c>
      <c r="C3" s="27">
        <v>4</v>
      </c>
    </row>
    <row r="4" spans="1:8" hidden="1" x14ac:dyDescent="0.25">
      <c r="A4" s="12">
        <v>41730</v>
      </c>
      <c r="B4" s="27"/>
      <c r="C4" s="27">
        <v>0</v>
      </c>
    </row>
    <row r="5" spans="1:8" hidden="1" x14ac:dyDescent="0.25">
      <c r="A5" s="12">
        <v>41760</v>
      </c>
      <c r="B5" s="27"/>
      <c r="C5" s="27">
        <v>0</v>
      </c>
    </row>
    <row r="6" spans="1:8" hidden="1" x14ac:dyDescent="0.25">
      <c r="A6" s="12">
        <v>41791</v>
      </c>
      <c r="B6" s="27">
        <v>4.08</v>
      </c>
      <c r="C6" s="27">
        <v>2</v>
      </c>
    </row>
    <row r="7" spans="1:8" hidden="1" x14ac:dyDescent="0.25">
      <c r="A7" s="12">
        <v>41821</v>
      </c>
      <c r="B7" s="27">
        <v>5</v>
      </c>
      <c r="C7" s="27">
        <v>2</v>
      </c>
    </row>
    <row r="8" spans="1:8" hidden="1" x14ac:dyDescent="0.25">
      <c r="A8" s="12">
        <v>41852</v>
      </c>
      <c r="B8" s="27">
        <v>5</v>
      </c>
      <c r="C8" s="27">
        <v>1</v>
      </c>
    </row>
    <row r="9" spans="1:8" hidden="1" x14ac:dyDescent="0.25">
      <c r="A9" s="12">
        <v>41883</v>
      </c>
      <c r="B9" s="27">
        <v>5</v>
      </c>
      <c r="C9" s="27">
        <v>2</v>
      </c>
    </row>
    <row r="10" spans="1:8" hidden="1" x14ac:dyDescent="0.25">
      <c r="A10" s="12">
        <v>41913</v>
      </c>
      <c r="B10" s="27">
        <v>5</v>
      </c>
      <c r="C10" s="27">
        <v>1</v>
      </c>
    </row>
    <row r="11" spans="1:8" hidden="1" x14ac:dyDescent="0.25">
      <c r="A11" s="12">
        <v>41944</v>
      </c>
      <c r="B11" s="27">
        <v>3.8</v>
      </c>
      <c r="C11" s="27">
        <v>1</v>
      </c>
    </row>
    <row r="12" spans="1:8" hidden="1" x14ac:dyDescent="0.25">
      <c r="A12" s="12">
        <v>41974</v>
      </c>
      <c r="B12" s="27"/>
      <c r="C12" s="27">
        <v>0</v>
      </c>
    </row>
    <row r="13" spans="1:8" hidden="1" x14ac:dyDescent="0.25">
      <c r="A13" s="1">
        <v>42005</v>
      </c>
      <c r="B13" s="27">
        <v>5</v>
      </c>
      <c r="C13" s="27">
        <v>2</v>
      </c>
    </row>
    <row r="14" spans="1:8" hidden="1" x14ac:dyDescent="0.25">
      <c r="A14" s="1">
        <v>42036</v>
      </c>
      <c r="B14" s="27">
        <v>5</v>
      </c>
      <c r="C14" s="27">
        <v>1</v>
      </c>
    </row>
    <row r="15" spans="1:8" x14ac:dyDescent="0.25">
      <c r="A15" s="1">
        <v>42064</v>
      </c>
      <c r="B15" s="27">
        <v>4.29</v>
      </c>
      <c r="C15" s="27">
        <v>3</v>
      </c>
    </row>
    <row r="16" spans="1:8" x14ac:dyDescent="0.25">
      <c r="A16" s="1">
        <v>42095</v>
      </c>
      <c r="B16" s="27">
        <v>5</v>
      </c>
      <c r="C16" s="27">
        <v>1</v>
      </c>
    </row>
    <row r="17" spans="1:3" x14ac:dyDescent="0.25">
      <c r="A17" s="1">
        <v>42125</v>
      </c>
      <c r="B17" s="27">
        <v>5</v>
      </c>
      <c r="C17" s="27">
        <v>3</v>
      </c>
    </row>
    <row r="18" spans="1:3" x14ac:dyDescent="0.25">
      <c r="A18" s="1">
        <v>42156</v>
      </c>
      <c r="B18" s="27">
        <v>5</v>
      </c>
      <c r="C18" s="27">
        <v>2</v>
      </c>
    </row>
    <row r="19" spans="1:3" x14ac:dyDescent="0.25">
      <c r="A19" s="1">
        <v>42200</v>
      </c>
      <c r="C19" s="27">
        <v>0</v>
      </c>
    </row>
    <row r="20" spans="1:3" x14ac:dyDescent="0.25">
      <c r="A20" s="1">
        <v>42231</v>
      </c>
      <c r="B20" s="27">
        <v>4.67</v>
      </c>
      <c r="C20" s="27">
        <v>4</v>
      </c>
    </row>
    <row r="21" spans="1:3" s="186" customFormat="1" x14ac:dyDescent="0.25">
      <c r="A21" s="1">
        <v>42262</v>
      </c>
      <c r="B21" s="27">
        <v>5</v>
      </c>
      <c r="C21" s="27">
        <v>2</v>
      </c>
    </row>
    <row r="22" spans="1:3" x14ac:dyDescent="0.25">
      <c r="A22" s="1">
        <v>42292</v>
      </c>
      <c r="B22" s="27">
        <v>2.8</v>
      </c>
      <c r="C22" s="27">
        <v>2</v>
      </c>
    </row>
    <row r="23" spans="1:3" s="186" customFormat="1" x14ac:dyDescent="0.25">
      <c r="A23" s="1">
        <v>42309</v>
      </c>
      <c r="B23" s="27">
        <v>4.54</v>
      </c>
      <c r="C23" s="27">
        <v>2</v>
      </c>
    </row>
    <row r="24" spans="1:3" x14ac:dyDescent="0.25">
      <c r="A24" s="1">
        <v>42339</v>
      </c>
      <c r="B24" s="27">
        <v>5</v>
      </c>
      <c r="C24" s="27">
        <v>1</v>
      </c>
    </row>
    <row r="25" spans="1:3" x14ac:dyDescent="0.25">
      <c r="A25" s="1">
        <v>42370</v>
      </c>
      <c r="B25" s="27">
        <v>5</v>
      </c>
      <c r="C25" s="27">
        <v>1</v>
      </c>
    </row>
    <row r="26" spans="1:3" x14ac:dyDescent="0.25">
      <c r="A26" s="1">
        <v>42416</v>
      </c>
      <c r="B26" s="27">
        <v>4.8</v>
      </c>
      <c r="C26" s="27">
        <v>1</v>
      </c>
    </row>
    <row r="27" spans="1:3" x14ac:dyDescent="0.25">
      <c r="A27" s="1">
        <v>42430</v>
      </c>
      <c r="B27" s="27">
        <v>4.91</v>
      </c>
      <c r="C27" s="27">
        <v>4</v>
      </c>
    </row>
    <row r="28" spans="1:3" s="186" customFormat="1" x14ac:dyDescent="0.25">
      <c r="A28" s="1">
        <v>42461</v>
      </c>
      <c r="B28" s="27">
        <v>5</v>
      </c>
      <c r="C28" s="27">
        <v>1</v>
      </c>
    </row>
    <row r="29" spans="1:3" x14ac:dyDescent="0.25">
      <c r="A29" s="1">
        <v>42491</v>
      </c>
      <c r="B29" s="27">
        <v>5</v>
      </c>
      <c r="C29" s="27">
        <v>4</v>
      </c>
    </row>
    <row r="30" spans="1:3" s="186" customFormat="1" x14ac:dyDescent="0.25">
      <c r="A30" s="1">
        <v>42522</v>
      </c>
      <c r="B30" s="27">
        <v>0</v>
      </c>
      <c r="C30" s="27">
        <v>0</v>
      </c>
    </row>
    <row r="31" spans="1:3" s="186" customFormat="1" x14ac:dyDescent="0.25">
      <c r="A31" s="1">
        <v>42567</v>
      </c>
      <c r="B31" s="27">
        <v>0</v>
      </c>
      <c r="C31" s="27">
        <v>0</v>
      </c>
    </row>
    <row r="32" spans="1:3" s="186" customFormat="1" x14ac:dyDescent="0.25">
      <c r="A32" s="1">
        <v>42598</v>
      </c>
      <c r="B32" s="27">
        <v>4.5</v>
      </c>
      <c r="C32" s="27">
        <v>1</v>
      </c>
    </row>
  </sheetData>
  <pageMargins left="0.25" right="0.25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zoomScale="80" zoomScaleNormal="80" workbookViewId="0">
      <selection activeCell="C66" sqref="C66"/>
    </sheetView>
  </sheetViews>
  <sheetFormatPr defaultRowHeight="15" x14ac:dyDescent="0.25"/>
  <cols>
    <col min="1" max="1" width="8.28515625" customWidth="1"/>
    <col min="2" max="2" width="10.42578125" customWidth="1"/>
    <col min="3" max="3" width="15" bestFit="1" customWidth="1"/>
  </cols>
  <sheetData>
    <row r="1" spans="1:8" s="28" customFormat="1" ht="15.75" x14ac:dyDescent="0.25">
      <c r="A1" s="28" t="s">
        <v>38</v>
      </c>
      <c r="F1" s="28" t="s">
        <v>28</v>
      </c>
      <c r="H1" s="28" t="s">
        <v>29</v>
      </c>
    </row>
    <row r="2" spans="1:8" hidden="1" x14ac:dyDescent="0.25">
      <c r="C2" t="s">
        <v>26</v>
      </c>
    </row>
    <row r="3" spans="1:8" hidden="1" x14ac:dyDescent="0.25">
      <c r="A3" s="12">
        <v>40909</v>
      </c>
      <c r="B3" s="27">
        <v>4.16</v>
      </c>
      <c r="C3" s="27">
        <v>6</v>
      </c>
    </row>
    <row r="4" spans="1:8" hidden="1" x14ac:dyDescent="0.25">
      <c r="A4" s="12">
        <v>40940</v>
      </c>
      <c r="B4" s="27">
        <v>3.65</v>
      </c>
      <c r="C4" s="27">
        <v>23</v>
      </c>
    </row>
    <row r="5" spans="1:8" hidden="1" x14ac:dyDescent="0.25">
      <c r="A5" s="12">
        <v>40969</v>
      </c>
      <c r="B5" s="27">
        <v>4.1399999999999997</v>
      </c>
      <c r="C5" s="27">
        <v>14</v>
      </c>
    </row>
    <row r="6" spans="1:8" hidden="1" x14ac:dyDescent="0.25">
      <c r="A6" s="12">
        <v>41000</v>
      </c>
      <c r="B6" s="27">
        <v>4.4800000000000004</v>
      </c>
      <c r="C6" s="27">
        <v>15</v>
      </c>
    </row>
    <row r="7" spans="1:8" hidden="1" x14ac:dyDescent="0.25">
      <c r="A7" s="12">
        <v>41030</v>
      </c>
      <c r="B7" s="27">
        <v>3.81</v>
      </c>
      <c r="C7" s="27">
        <v>9</v>
      </c>
    </row>
    <row r="8" spans="1:8" hidden="1" x14ac:dyDescent="0.25">
      <c r="A8" s="12">
        <v>41061</v>
      </c>
      <c r="B8" s="27">
        <v>4.0999999999999996</v>
      </c>
      <c r="C8" s="27">
        <v>8</v>
      </c>
    </row>
    <row r="9" spans="1:8" hidden="1" x14ac:dyDescent="0.25">
      <c r="A9" s="12">
        <v>41091</v>
      </c>
      <c r="B9" s="82">
        <v>4</v>
      </c>
      <c r="C9" t="s">
        <v>203</v>
      </c>
    </row>
    <row r="10" spans="1:8" s="2" customFormat="1" hidden="1" x14ac:dyDescent="0.25">
      <c r="A10" s="12">
        <v>41122</v>
      </c>
      <c r="B10" s="10">
        <v>4.28</v>
      </c>
      <c r="C10" s="10">
        <v>7</v>
      </c>
    </row>
    <row r="11" spans="1:8" s="3" customFormat="1" hidden="1" x14ac:dyDescent="0.25">
      <c r="A11" s="12">
        <v>41153</v>
      </c>
      <c r="B11" s="10">
        <v>4.1399999999999997</v>
      </c>
      <c r="C11" s="10">
        <v>39</v>
      </c>
    </row>
    <row r="12" spans="1:8" hidden="1" x14ac:dyDescent="0.25">
      <c r="A12" s="12">
        <v>41183</v>
      </c>
      <c r="B12" s="10">
        <v>4.01</v>
      </c>
      <c r="C12" s="10">
        <v>97</v>
      </c>
    </row>
    <row r="13" spans="1:8" hidden="1" x14ac:dyDescent="0.25">
      <c r="A13" s="12">
        <v>41214</v>
      </c>
      <c r="B13" s="10">
        <v>4.16</v>
      </c>
      <c r="C13" s="10">
        <v>79</v>
      </c>
    </row>
    <row r="14" spans="1:8" hidden="1" x14ac:dyDescent="0.25">
      <c r="A14" s="12">
        <v>41244</v>
      </c>
      <c r="B14" s="10">
        <v>4.1500000000000004</v>
      </c>
      <c r="C14" s="10">
        <v>74</v>
      </c>
    </row>
    <row r="15" spans="1:8" hidden="1" x14ac:dyDescent="0.25">
      <c r="A15" s="12">
        <v>41275</v>
      </c>
      <c r="B15" s="10">
        <v>4.08</v>
      </c>
      <c r="C15" s="10">
        <v>69</v>
      </c>
    </row>
    <row r="16" spans="1:8" hidden="1" x14ac:dyDescent="0.25">
      <c r="A16" s="12">
        <v>41306</v>
      </c>
      <c r="B16" s="10">
        <v>4.12</v>
      </c>
      <c r="C16" s="10">
        <v>69</v>
      </c>
    </row>
    <row r="17" spans="1:3" hidden="1" x14ac:dyDescent="0.25">
      <c r="A17" s="12">
        <v>41334</v>
      </c>
      <c r="B17" s="10">
        <v>4.16</v>
      </c>
      <c r="C17" s="10">
        <v>92</v>
      </c>
    </row>
    <row r="18" spans="1:3" hidden="1" x14ac:dyDescent="0.25">
      <c r="A18" s="12">
        <v>41365</v>
      </c>
      <c r="B18" s="136">
        <v>4.5650000000000004</v>
      </c>
      <c r="C18" s="10">
        <v>89</v>
      </c>
    </row>
    <row r="19" spans="1:3" hidden="1" x14ac:dyDescent="0.25">
      <c r="A19" s="12">
        <v>41395</v>
      </c>
      <c r="B19" s="10">
        <v>4.42</v>
      </c>
      <c r="C19" s="10">
        <v>91</v>
      </c>
    </row>
    <row r="20" spans="1:3" hidden="1" x14ac:dyDescent="0.25">
      <c r="A20" s="12">
        <v>41426</v>
      </c>
      <c r="B20" s="10">
        <v>4.2300000000000004</v>
      </c>
      <c r="C20" s="10">
        <v>58</v>
      </c>
    </row>
    <row r="21" spans="1:3" hidden="1" x14ac:dyDescent="0.25">
      <c r="A21" s="12">
        <v>41456</v>
      </c>
      <c r="B21" s="10">
        <v>4.1399999999999997</v>
      </c>
      <c r="C21" s="10">
        <v>123</v>
      </c>
    </row>
    <row r="22" spans="1:3" hidden="1" x14ac:dyDescent="0.25">
      <c r="A22" s="12">
        <v>41487</v>
      </c>
      <c r="B22" s="10">
        <v>4.37</v>
      </c>
      <c r="C22" s="10">
        <v>98</v>
      </c>
    </row>
    <row r="23" spans="1:3" hidden="1" x14ac:dyDescent="0.25">
      <c r="A23" s="12">
        <v>41518</v>
      </c>
      <c r="B23" s="10">
        <v>4.51</v>
      </c>
      <c r="C23" s="10">
        <v>89</v>
      </c>
    </row>
    <row r="24" spans="1:3" hidden="1" x14ac:dyDescent="0.25">
      <c r="A24" s="12">
        <v>41548</v>
      </c>
      <c r="B24" s="10">
        <v>4.26</v>
      </c>
      <c r="C24" s="10">
        <v>105</v>
      </c>
    </row>
    <row r="25" spans="1:3" hidden="1" x14ac:dyDescent="0.25">
      <c r="A25" s="12">
        <v>41579</v>
      </c>
      <c r="B25" s="10">
        <v>4.62</v>
      </c>
      <c r="C25" s="10">
        <v>106</v>
      </c>
    </row>
    <row r="26" spans="1:3" hidden="1" x14ac:dyDescent="0.25">
      <c r="A26" s="12">
        <v>41609</v>
      </c>
      <c r="B26" s="10">
        <v>4.53</v>
      </c>
      <c r="C26" s="10">
        <v>98</v>
      </c>
    </row>
    <row r="27" spans="1:3" hidden="1" x14ac:dyDescent="0.25">
      <c r="A27" s="12">
        <v>41640</v>
      </c>
      <c r="B27" s="10">
        <v>4.47</v>
      </c>
      <c r="C27" s="10">
        <v>83</v>
      </c>
    </row>
    <row r="28" spans="1:3" hidden="1" x14ac:dyDescent="0.25">
      <c r="A28" s="12">
        <v>41671</v>
      </c>
      <c r="B28" s="10">
        <v>4.41</v>
      </c>
      <c r="C28" s="10">
        <v>106</v>
      </c>
    </row>
    <row r="29" spans="1:3" hidden="1" x14ac:dyDescent="0.25">
      <c r="A29" s="12">
        <v>41699</v>
      </c>
      <c r="B29" s="10">
        <v>4.7300000000000004</v>
      </c>
      <c r="C29" s="10">
        <v>88</v>
      </c>
    </row>
    <row r="30" spans="1:3" hidden="1" x14ac:dyDescent="0.25">
      <c r="A30" s="12">
        <v>41730</v>
      </c>
      <c r="B30" s="10">
        <v>4.8099999999999996</v>
      </c>
      <c r="C30" s="10">
        <v>81</v>
      </c>
    </row>
    <row r="31" spans="1:3" hidden="1" x14ac:dyDescent="0.25">
      <c r="A31" s="12">
        <v>41760</v>
      </c>
      <c r="B31" s="10">
        <v>4.4800000000000004</v>
      </c>
      <c r="C31" s="10">
        <v>91</v>
      </c>
    </row>
    <row r="32" spans="1:3" hidden="1" x14ac:dyDescent="0.25">
      <c r="A32" s="12">
        <v>41791</v>
      </c>
      <c r="B32" s="10">
        <v>4.34</v>
      </c>
      <c r="C32" s="10">
        <v>81</v>
      </c>
    </row>
    <row r="33" spans="1:3" hidden="1" x14ac:dyDescent="0.25">
      <c r="A33" s="12">
        <v>41821</v>
      </c>
      <c r="B33" s="10">
        <v>4.58</v>
      </c>
      <c r="C33" s="10">
        <v>72</v>
      </c>
    </row>
    <row r="34" spans="1:3" hidden="1" x14ac:dyDescent="0.25">
      <c r="A34" s="12">
        <v>41852</v>
      </c>
      <c r="B34" s="10">
        <v>4.45</v>
      </c>
      <c r="C34" s="10">
        <v>93</v>
      </c>
    </row>
    <row r="35" spans="1:3" x14ac:dyDescent="0.25">
      <c r="A35" s="12">
        <v>41883</v>
      </c>
      <c r="B35" s="10">
        <v>4.46</v>
      </c>
      <c r="C35" s="10">
        <v>89</v>
      </c>
    </row>
    <row r="36" spans="1:3" x14ac:dyDescent="0.25">
      <c r="A36" s="12">
        <v>41913</v>
      </c>
      <c r="B36" s="10">
        <v>4.66</v>
      </c>
      <c r="C36" s="10">
        <v>105</v>
      </c>
    </row>
    <row r="37" spans="1:3" x14ac:dyDescent="0.25">
      <c r="A37" s="12">
        <v>41944</v>
      </c>
      <c r="B37" s="10">
        <v>4.28</v>
      </c>
      <c r="C37" s="10">
        <v>91</v>
      </c>
    </row>
    <row r="38" spans="1:3" x14ac:dyDescent="0.25">
      <c r="A38" s="1">
        <v>41974</v>
      </c>
      <c r="B38" s="10">
        <v>4.25</v>
      </c>
      <c r="C38" s="10">
        <v>69</v>
      </c>
    </row>
    <row r="39" spans="1:3" x14ac:dyDescent="0.25">
      <c r="A39" s="1">
        <v>42005</v>
      </c>
      <c r="B39" s="10">
        <v>4.53</v>
      </c>
      <c r="C39" s="10">
        <v>103</v>
      </c>
    </row>
    <row r="40" spans="1:3" x14ac:dyDescent="0.25">
      <c r="A40" s="1">
        <v>42036</v>
      </c>
      <c r="B40" s="10">
        <v>4.37</v>
      </c>
      <c r="C40" s="10">
        <v>118</v>
      </c>
    </row>
    <row r="41" spans="1:3" x14ac:dyDescent="0.25">
      <c r="A41" s="1">
        <v>42064</v>
      </c>
      <c r="B41" s="10">
        <v>4.3</v>
      </c>
      <c r="C41" s="10">
        <v>125</v>
      </c>
    </row>
    <row r="42" spans="1:3" x14ac:dyDescent="0.25">
      <c r="A42" s="1">
        <v>42095</v>
      </c>
      <c r="B42" s="10">
        <v>4.5999999999999996</v>
      </c>
      <c r="C42" s="10">
        <v>98</v>
      </c>
    </row>
    <row r="43" spans="1:3" x14ac:dyDescent="0.25">
      <c r="A43" s="1">
        <v>42125</v>
      </c>
      <c r="B43" s="10">
        <v>4.7</v>
      </c>
      <c r="C43" s="10">
        <v>81</v>
      </c>
    </row>
    <row r="44" spans="1:3" x14ac:dyDescent="0.25">
      <c r="A44" s="1">
        <v>42156</v>
      </c>
      <c r="B44" s="10">
        <v>4.4000000000000004</v>
      </c>
      <c r="C44" s="10">
        <v>71</v>
      </c>
    </row>
    <row r="45" spans="1:3" x14ac:dyDescent="0.25">
      <c r="A45" s="1">
        <v>42200</v>
      </c>
      <c r="B45" s="10">
        <v>4.5</v>
      </c>
      <c r="C45" s="10">
        <v>50</v>
      </c>
    </row>
    <row r="46" spans="1:3" x14ac:dyDescent="0.25">
      <c r="A46" s="1">
        <v>42231</v>
      </c>
      <c r="B46" s="10">
        <v>4.5999999999999996</v>
      </c>
      <c r="C46" s="10">
        <v>124</v>
      </c>
    </row>
    <row r="47" spans="1:3" s="186" customFormat="1" x14ac:dyDescent="0.25">
      <c r="A47" s="1">
        <v>42262</v>
      </c>
      <c r="B47" s="10">
        <v>4.7</v>
      </c>
      <c r="C47" s="10">
        <v>86</v>
      </c>
    </row>
    <row r="48" spans="1:3" x14ac:dyDescent="0.25">
      <c r="A48" s="1">
        <v>42292</v>
      </c>
      <c r="B48" s="10">
        <v>4.6100000000000003</v>
      </c>
      <c r="C48" s="10">
        <v>77</v>
      </c>
    </row>
    <row r="49" spans="1:3" s="186" customFormat="1" x14ac:dyDescent="0.25">
      <c r="A49" s="1">
        <v>42309</v>
      </c>
      <c r="B49" s="10">
        <v>4.6100000000000003</v>
      </c>
      <c r="C49" s="10">
        <v>70</v>
      </c>
    </row>
    <row r="50" spans="1:3" x14ac:dyDescent="0.25">
      <c r="A50" s="1">
        <v>42339</v>
      </c>
      <c r="B50" s="10">
        <v>4.49</v>
      </c>
      <c r="C50" s="10">
        <v>106</v>
      </c>
    </row>
    <row r="51" spans="1:3" x14ac:dyDescent="0.25">
      <c r="A51" s="1">
        <v>42370</v>
      </c>
      <c r="B51" s="10">
        <v>4.5599999999999996</v>
      </c>
      <c r="C51" s="10">
        <v>99</v>
      </c>
    </row>
    <row r="52" spans="1:3" s="186" customFormat="1" x14ac:dyDescent="0.25">
      <c r="A52" s="1">
        <v>42401</v>
      </c>
      <c r="B52" s="10">
        <v>4.78</v>
      </c>
      <c r="C52" s="10">
        <v>82</v>
      </c>
    </row>
    <row r="53" spans="1:3" x14ac:dyDescent="0.25">
      <c r="A53" s="1">
        <v>42430</v>
      </c>
      <c r="B53" s="10">
        <v>4.6500000000000004</v>
      </c>
      <c r="C53" s="10">
        <v>75</v>
      </c>
    </row>
    <row r="54" spans="1:3" s="186" customFormat="1" x14ac:dyDescent="0.25">
      <c r="A54" s="1">
        <v>42461</v>
      </c>
      <c r="B54" s="10">
        <v>4.5</v>
      </c>
      <c r="C54" s="10">
        <v>66</v>
      </c>
    </row>
    <row r="55" spans="1:3" x14ac:dyDescent="0.25">
      <c r="A55" s="1">
        <v>42491</v>
      </c>
      <c r="B55" s="10">
        <v>4.9400000000000004</v>
      </c>
      <c r="C55" s="10">
        <v>36</v>
      </c>
    </row>
    <row r="56" spans="1:3" s="186" customFormat="1" x14ac:dyDescent="0.25">
      <c r="A56" s="1">
        <v>42522</v>
      </c>
      <c r="B56" s="10">
        <v>4.82</v>
      </c>
      <c r="C56" s="10">
        <v>63</v>
      </c>
    </row>
    <row r="57" spans="1:3" s="186" customFormat="1" x14ac:dyDescent="0.25">
      <c r="A57" s="1">
        <v>42567</v>
      </c>
      <c r="B57" s="10">
        <v>4.59</v>
      </c>
      <c r="C57" s="10">
        <v>44</v>
      </c>
    </row>
    <row r="58" spans="1:3" s="186" customFormat="1" x14ac:dyDescent="0.25">
      <c r="A58" s="1">
        <v>42583</v>
      </c>
      <c r="B58" s="10">
        <v>4.55</v>
      </c>
      <c r="C58" s="10">
        <v>69</v>
      </c>
    </row>
  </sheetData>
  <pageMargins left="0.25" right="0.25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210"/>
  <sheetViews>
    <sheetView zoomScaleNormal="100" zoomScaleSheetLayoutView="50" workbookViewId="0">
      <selection activeCell="D197" sqref="D197"/>
    </sheetView>
  </sheetViews>
  <sheetFormatPr defaultRowHeight="15" x14ac:dyDescent="0.25"/>
  <cols>
    <col min="1" max="1" width="11.7109375" customWidth="1"/>
    <col min="2" max="2" width="11.7109375" style="186" customWidth="1"/>
    <col min="3" max="3" width="8.85546875" customWidth="1"/>
    <col min="4" max="5" width="9.7109375" style="37" customWidth="1"/>
    <col min="6" max="6" width="6.85546875" style="37" customWidth="1"/>
    <col min="7" max="7" width="7.28515625" style="37" bestFit="1" customWidth="1"/>
    <col min="8" max="8" width="9.7109375" style="37" customWidth="1"/>
    <col min="9" max="10" width="10.7109375" customWidth="1"/>
    <col min="11" max="11" width="11.28515625" customWidth="1"/>
    <col min="13" max="13" width="10.7109375" customWidth="1"/>
    <col min="14" max="14" width="10.28515625" customWidth="1"/>
    <col min="16" max="16" width="10.5703125" customWidth="1"/>
    <col min="17" max="17" width="11.85546875" customWidth="1"/>
  </cols>
  <sheetData>
    <row r="2" spans="1:8" ht="30" x14ac:dyDescent="0.25">
      <c r="A2" s="5" t="s">
        <v>57</v>
      </c>
      <c r="B2" s="5" t="s">
        <v>509</v>
      </c>
      <c r="C2" s="47" t="s">
        <v>506</v>
      </c>
      <c r="D2" s="47" t="s">
        <v>507</v>
      </c>
      <c r="E2" s="37" t="s">
        <v>505</v>
      </c>
      <c r="F2" s="37" t="s">
        <v>1</v>
      </c>
      <c r="H2" s="47" t="s">
        <v>526</v>
      </c>
    </row>
    <row r="3" spans="1:8" hidden="1" x14ac:dyDescent="0.25">
      <c r="A3" s="1">
        <v>40909</v>
      </c>
      <c r="B3" s="84"/>
      <c r="C3" s="53">
        <v>100</v>
      </c>
      <c r="D3" s="8">
        <v>247</v>
      </c>
      <c r="E3" s="38"/>
      <c r="F3" s="37">
        <v>146</v>
      </c>
      <c r="G3" s="19">
        <f>+F3/D3</f>
        <v>0.59109311740890691</v>
      </c>
      <c r="H3" s="19"/>
    </row>
    <row r="4" spans="1:8" hidden="1" x14ac:dyDescent="0.25">
      <c r="A4" s="1">
        <v>40940</v>
      </c>
      <c r="B4" s="84"/>
      <c r="C4" s="53">
        <v>100</v>
      </c>
      <c r="D4" s="8">
        <v>130</v>
      </c>
      <c r="E4" s="38"/>
      <c r="F4" s="37">
        <v>54</v>
      </c>
      <c r="G4" s="19">
        <f t="shared" ref="G4:G14" si="0">+F4/D4</f>
        <v>0.41538461538461541</v>
      </c>
      <c r="H4" s="19"/>
    </row>
    <row r="5" spans="1:8" hidden="1" x14ac:dyDescent="0.25">
      <c r="A5" s="1">
        <v>40969</v>
      </c>
      <c r="B5" s="84"/>
      <c r="C5" s="53">
        <v>100</v>
      </c>
      <c r="D5" s="8">
        <v>78</v>
      </c>
      <c r="E5" s="38"/>
      <c r="F5" s="37">
        <v>13</v>
      </c>
      <c r="G5" s="19">
        <f t="shared" si="0"/>
        <v>0.16666666666666666</v>
      </c>
      <c r="H5" s="19"/>
    </row>
    <row r="6" spans="1:8" hidden="1" x14ac:dyDescent="0.25">
      <c r="A6" s="1">
        <v>41000</v>
      </c>
      <c r="B6" s="84"/>
      <c r="C6" s="53">
        <v>100</v>
      </c>
      <c r="D6" s="52">
        <v>116</v>
      </c>
      <c r="E6" s="33"/>
      <c r="F6" s="37">
        <v>33</v>
      </c>
      <c r="G6" s="19">
        <f t="shared" si="0"/>
        <v>0.28448275862068967</v>
      </c>
      <c r="H6" s="19"/>
    </row>
    <row r="7" spans="1:8" hidden="1" x14ac:dyDescent="0.25">
      <c r="A7" s="1">
        <v>41030</v>
      </c>
      <c r="B7" s="84"/>
      <c r="C7" s="53">
        <v>100</v>
      </c>
      <c r="D7" s="52">
        <v>77</v>
      </c>
      <c r="E7" s="33"/>
      <c r="F7" s="37">
        <v>46</v>
      </c>
      <c r="G7" s="19">
        <f t="shared" si="0"/>
        <v>0.59740259740259738</v>
      </c>
      <c r="H7" s="19"/>
    </row>
    <row r="8" spans="1:8" hidden="1" x14ac:dyDescent="0.25">
      <c r="A8" s="1">
        <v>41061</v>
      </c>
      <c r="B8" s="84"/>
      <c r="C8" s="53">
        <v>100</v>
      </c>
      <c r="D8" s="52">
        <v>150</v>
      </c>
      <c r="E8" s="20"/>
      <c r="F8" s="37">
        <v>34</v>
      </c>
      <c r="G8" s="19">
        <f t="shared" si="0"/>
        <v>0.22666666666666666</v>
      </c>
      <c r="H8" s="19"/>
    </row>
    <row r="9" spans="1:8" hidden="1" x14ac:dyDescent="0.25">
      <c r="A9" s="1">
        <v>41091</v>
      </c>
      <c r="B9" s="84"/>
      <c r="C9" s="53">
        <v>100</v>
      </c>
      <c r="D9" s="52">
        <v>113</v>
      </c>
      <c r="E9" s="20"/>
      <c r="F9" s="37">
        <v>43</v>
      </c>
      <c r="G9" s="19">
        <f t="shared" si="0"/>
        <v>0.38053097345132741</v>
      </c>
      <c r="H9" s="19"/>
    </row>
    <row r="10" spans="1:8" hidden="1" x14ac:dyDescent="0.25">
      <c r="A10" s="1">
        <v>41122</v>
      </c>
      <c r="B10" s="84"/>
      <c r="C10" s="53">
        <v>100</v>
      </c>
      <c r="D10" s="52">
        <v>158</v>
      </c>
      <c r="E10" s="20"/>
      <c r="F10" s="37">
        <v>32</v>
      </c>
      <c r="G10" s="19">
        <f t="shared" si="0"/>
        <v>0.20253164556962025</v>
      </c>
      <c r="H10" s="19"/>
    </row>
    <row r="11" spans="1:8" hidden="1" x14ac:dyDescent="0.25">
      <c r="A11" s="1">
        <v>41153</v>
      </c>
      <c r="B11" s="84"/>
      <c r="C11" s="53">
        <v>100</v>
      </c>
      <c r="D11" s="52">
        <v>98</v>
      </c>
      <c r="E11" s="20"/>
      <c r="F11" s="37">
        <v>48</v>
      </c>
      <c r="G11" s="19">
        <f t="shared" si="0"/>
        <v>0.48979591836734693</v>
      </c>
      <c r="H11" s="19"/>
    </row>
    <row r="12" spans="1:8" hidden="1" x14ac:dyDescent="0.25">
      <c r="A12" s="1">
        <v>41183</v>
      </c>
      <c r="B12" s="84"/>
      <c r="C12" s="53">
        <v>100</v>
      </c>
      <c r="D12" s="52">
        <v>46</v>
      </c>
      <c r="E12" s="20"/>
      <c r="F12" s="37">
        <v>0</v>
      </c>
      <c r="G12" s="19">
        <f t="shared" si="0"/>
        <v>0</v>
      </c>
      <c r="H12" s="19"/>
    </row>
    <row r="13" spans="1:8" hidden="1" x14ac:dyDescent="0.25">
      <c r="A13" s="1">
        <v>41214</v>
      </c>
      <c r="B13" s="84"/>
      <c r="C13" s="53">
        <v>100</v>
      </c>
      <c r="D13" s="52">
        <v>49</v>
      </c>
      <c r="E13" s="20"/>
      <c r="F13" s="37">
        <v>2</v>
      </c>
      <c r="G13" s="19">
        <f t="shared" si="0"/>
        <v>4.0816326530612242E-2</v>
      </c>
      <c r="H13" s="19"/>
    </row>
    <row r="14" spans="1:8" hidden="1" x14ac:dyDescent="0.25">
      <c r="A14" s="1">
        <v>41244</v>
      </c>
      <c r="B14" s="84"/>
      <c r="C14" s="53">
        <v>100</v>
      </c>
      <c r="D14" s="52">
        <v>30</v>
      </c>
      <c r="E14" s="20"/>
      <c r="F14" s="37">
        <v>0</v>
      </c>
      <c r="G14" s="19">
        <f t="shared" si="0"/>
        <v>0</v>
      </c>
      <c r="H14" s="19"/>
    </row>
    <row r="15" spans="1:8" hidden="1" x14ac:dyDescent="0.25">
      <c r="A15" s="1">
        <v>41275</v>
      </c>
      <c r="B15" s="84"/>
      <c r="C15" s="53">
        <v>100</v>
      </c>
      <c r="D15" s="52">
        <v>100</v>
      </c>
      <c r="E15" s="20"/>
      <c r="F15" s="37">
        <v>0</v>
      </c>
      <c r="G15" s="19">
        <f t="shared" ref="G15:G58" si="1">+F15/D15</f>
        <v>0</v>
      </c>
    </row>
    <row r="16" spans="1:8" hidden="1" x14ac:dyDescent="0.25">
      <c r="A16" s="1">
        <v>41306</v>
      </c>
      <c r="B16" s="84"/>
      <c r="C16" s="53">
        <v>100</v>
      </c>
      <c r="D16" s="27">
        <v>67</v>
      </c>
      <c r="F16" s="37">
        <v>7</v>
      </c>
      <c r="G16" s="19">
        <f t="shared" si="1"/>
        <v>0.1044776119402985</v>
      </c>
    </row>
    <row r="17" spans="1:7" hidden="1" x14ac:dyDescent="0.25">
      <c r="A17" s="1">
        <v>41334</v>
      </c>
      <c r="B17" s="84"/>
      <c r="C17" s="53">
        <v>100</v>
      </c>
      <c r="D17" s="27">
        <v>56</v>
      </c>
      <c r="F17" s="37">
        <v>1</v>
      </c>
      <c r="G17" s="19">
        <f t="shared" si="1"/>
        <v>1.7857142857142856E-2</v>
      </c>
    </row>
    <row r="18" spans="1:7" hidden="1" x14ac:dyDescent="0.25">
      <c r="A18" s="1">
        <v>41365</v>
      </c>
      <c r="B18" s="84"/>
      <c r="C18" s="53">
        <v>100</v>
      </c>
      <c r="D18" s="27">
        <v>102</v>
      </c>
      <c r="F18" s="37">
        <v>2</v>
      </c>
      <c r="G18" s="19">
        <f t="shared" si="1"/>
        <v>1.9607843137254902E-2</v>
      </c>
    </row>
    <row r="19" spans="1:7" hidden="1" x14ac:dyDescent="0.25">
      <c r="A19" s="1">
        <v>41395</v>
      </c>
      <c r="B19" s="84"/>
      <c r="C19" s="53">
        <v>100</v>
      </c>
      <c r="D19" s="27">
        <v>81</v>
      </c>
      <c r="F19" s="37">
        <v>9</v>
      </c>
      <c r="G19" s="19">
        <f t="shared" si="1"/>
        <v>0.1111111111111111</v>
      </c>
    </row>
    <row r="20" spans="1:7" hidden="1" x14ac:dyDescent="0.25">
      <c r="A20" s="1">
        <v>41426</v>
      </c>
      <c r="B20" s="84"/>
      <c r="C20" s="53">
        <v>100</v>
      </c>
      <c r="D20" s="27">
        <v>90</v>
      </c>
      <c r="F20" s="37">
        <v>18</v>
      </c>
      <c r="G20" s="19">
        <f t="shared" si="1"/>
        <v>0.2</v>
      </c>
    </row>
    <row r="21" spans="1:7" hidden="1" x14ac:dyDescent="0.25">
      <c r="A21" s="1">
        <v>41456</v>
      </c>
      <c r="B21" s="84"/>
      <c r="C21" s="53">
        <v>100</v>
      </c>
      <c r="D21" s="27">
        <v>77</v>
      </c>
      <c r="F21" s="37">
        <v>27</v>
      </c>
      <c r="G21" s="19">
        <f t="shared" si="1"/>
        <v>0.35064935064935066</v>
      </c>
    </row>
    <row r="22" spans="1:7" hidden="1" x14ac:dyDescent="0.25">
      <c r="A22" s="1">
        <v>41487</v>
      </c>
      <c r="B22" s="84"/>
      <c r="C22" s="53">
        <v>100</v>
      </c>
      <c r="D22" s="27">
        <v>120</v>
      </c>
      <c r="F22" s="37">
        <v>21</v>
      </c>
      <c r="G22" s="19">
        <f t="shared" si="1"/>
        <v>0.17499999999999999</v>
      </c>
    </row>
    <row r="23" spans="1:7" hidden="1" x14ac:dyDescent="0.25">
      <c r="A23" s="1">
        <v>41518</v>
      </c>
      <c r="B23" s="84"/>
      <c r="C23" s="53">
        <v>100</v>
      </c>
      <c r="D23" s="27">
        <v>83</v>
      </c>
      <c r="F23" s="37">
        <v>30</v>
      </c>
      <c r="G23" s="19">
        <f t="shared" si="1"/>
        <v>0.36144578313253012</v>
      </c>
    </row>
    <row r="24" spans="1:7" hidden="1" x14ac:dyDescent="0.25">
      <c r="A24" s="1">
        <v>41548</v>
      </c>
      <c r="B24" s="84"/>
      <c r="C24" s="53">
        <v>100</v>
      </c>
      <c r="D24" s="27">
        <v>83</v>
      </c>
      <c r="F24" s="37">
        <v>19</v>
      </c>
      <c r="G24" s="19">
        <f t="shared" si="1"/>
        <v>0.2289156626506024</v>
      </c>
    </row>
    <row r="25" spans="1:7" hidden="1" x14ac:dyDescent="0.25">
      <c r="A25" s="1">
        <v>41579</v>
      </c>
      <c r="B25" s="84"/>
      <c r="C25" s="53">
        <v>100</v>
      </c>
      <c r="D25" s="27">
        <v>80</v>
      </c>
      <c r="F25" s="37">
        <v>14</v>
      </c>
      <c r="G25" s="19">
        <f t="shared" si="1"/>
        <v>0.17499999999999999</v>
      </c>
    </row>
    <row r="26" spans="1:7" hidden="1" x14ac:dyDescent="0.25">
      <c r="A26" s="1">
        <v>41609</v>
      </c>
      <c r="B26" s="84"/>
      <c r="C26" s="53">
        <v>100</v>
      </c>
      <c r="D26" s="27">
        <v>72</v>
      </c>
      <c r="F26" s="37">
        <v>37</v>
      </c>
      <c r="G26" s="19">
        <f t="shared" si="1"/>
        <v>0.51388888888888884</v>
      </c>
    </row>
    <row r="27" spans="1:7" hidden="1" x14ac:dyDescent="0.25">
      <c r="A27" s="1">
        <v>41640</v>
      </c>
      <c r="B27" s="84"/>
      <c r="C27" s="53">
        <v>100</v>
      </c>
      <c r="D27" s="27">
        <v>109</v>
      </c>
      <c r="F27" s="37">
        <v>39</v>
      </c>
      <c r="G27" s="19">
        <f t="shared" si="1"/>
        <v>0.3577981651376147</v>
      </c>
    </row>
    <row r="28" spans="1:7" hidden="1" x14ac:dyDescent="0.25">
      <c r="A28" s="1">
        <v>41671</v>
      </c>
      <c r="B28" s="84">
        <v>217</v>
      </c>
      <c r="C28" s="53">
        <v>100</v>
      </c>
      <c r="D28" s="27">
        <v>99</v>
      </c>
      <c r="E28" s="37">
        <v>216</v>
      </c>
      <c r="F28" s="37">
        <v>39</v>
      </c>
      <c r="G28" s="19">
        <f t="shared" si="1"/>
        <v>0.39393939393939392</v>
      </c>
    </row>
    <row r="29" spans="1:7" hidden="1" x14ac:dyDescent="0.25">
      <c r="A29" s="1">
        <v>41699</v>
      </c>
      <c r="B29" s="84">
        <v>263</v>
      </c>
      <c r="C29" s="53">
        <v>100</v>
      </c>
      <c r="D29" s="27">
        <v>105</v>
      </c>
      <c r="E29" s="37">
        <v>239</v>
      </c>
      <c r="F29" s="37">
        <v>49</v>
      </c>
      <c r="G29" s="19">
        <f t="shared" si="1"/>
        <v>0.46666666666666667</v>
      </c>
    </row>
    <row r="30" spans="1:7" hidden="1" x14ac:dyDescent="0.25">
      <c r="A30" s="1">
        <v>41730</v>
      </c>
      <c r="B30" s="84">
        <v>183</v>
      </c>
      <c r="C30" s="53">
        <v>100</v>
      </c>
      <c r="D30" s="27">
        <v>133</v>
      </c>
      <c r="E30" s="37">
        <v>172</v>
      </c>
      <c r="F30" s="37">
        <v>63</v>
      </c>
      <c r="G30" s="19">
        <f t="shared" si="1"/>
        <v>0.47368421052631576</v>
      </c>
    </row>
    <row r="31" spans="1:7" hidden="1" x14ac:dyDescent="0.25">
      <c r="A31" s="1">
        <v>41760</v>
      </c>
      <c r="B31" s="84">
        <v>235</v>
      </c>
      <c r="C31" s="53">
        <v>100</v>
      </c>
      <c r="D31" s="27">
        <v>105</v>
      </c>
      <c r="E31" s="37">
        <v>257</v>
      </c>
      <c r="F31" s="37">
        <v>58</v>
      </c>
      <c r="G31" s="19">
        <f t="shared" si="1"/>
        <v>0.55238095238095242</v>
      </c>
    </row>
    <row r="32" spans="1:7" hidden="1" x14ac:dyDescent="0.25">
      <c r="A32" s="1">
        <v>41791</v>
      </c>
      <c r="B32" s="84">
        <v>251</v>
      </c>
      <c r="C32" s="53">
        <v>100</v>
      </c>
      <c r="D32" s="27">
        <v>116</v>
      </c>
      <c r="E32" s="37">
        <v>231</v>
      </c>
      <c r="F32" s="37">
        <v>63</v>
      </c>
      <c r="G32" s="19">
        <f t="shared" si="1"/>
        <v>0.5431034482758621</v>
      </c>
    </row>
    <row r="33" spans="1:8" hidden="1" x14ac:dyDescent="0.25">
      <c r="A33" s="1">
        <v>41821</v>
      </c>
      <c r="B33" s="84">
        <v>251</v>
      </c>
      <c r="C33" s="53">
        <v>100</v>
      </c>
      <c r="D33" s="27">
        <v>99</v>
      </c>
      <c r="E33" s="37">
        <v>260</v>
      </c>
      <c r="F33" s="37">
        <v>58</v>
      </c>
      <c r="G33" s="19">
        <f t="shared" si="1"/>
        <v>0.58585858585858586</v>
      </c>
    </row>
    <row r="34" spans="1:8" hidden="1" x14ac:dyDescent="0.25">
      <c r="A34" s="1">
        <v>41852</v>
      </c>
      <c r="B34" s="84">
        <v>252</v>
      </c>
      <c r="C34" s="53">
        <v>100</v>
      </c>
      <c r="D34" s="27">
        <v>123</v>
      </c>
      <c r="E34" s="37">
        <v>219</v>
      </c>
      <c r="F34" s="37">
        <v>56</v>
      </c>
      <c r="G34" s="19">
        <f t="shared" si="1"/>
        <v>0.45528455284552843</v>
      </c>
    </row>
    <row r="35" spans="1:8" s="186" customFormat="1" hidden="1" x14ac:dyDescent="0.25">
      <c r="A35" s="1">
        <v>41883</v>
      </c>
      <c r="B35" s="84">
        <v>200</v>
      </c>
      <c r="C35" s="53">
        <v>100</v>
      </c>
      <c r="D35" s="27">
        <v>103</v>
      </c>
      <c r="E35" s="187">
        <v>209</v>
      </c>
      <c r="F35" s="187">
        <v>59</v>
      </c>
      <c r="G35" s="19">
        <f t="shared" si="1"/>
        <v>0.57281553398058249</v>
      </c>
      <c r="H35" s="187"/>
    </row>
    <row r="36" spans="1:8" s="186" customFormat="1" hidden="1" x14ac:dyDescent="0.25">
      <c r="A36" s="1">
        <v>41913</v>
      </c>
      <c r="B36" s="84">
        <v>276</v>
      </c>
      <c r="C36" s="53">
        <v>100</v>
      </c>
      <c r="D36" s="27">
        <v>117</v>
      </c>
      <c r="E36" s="187">
        <v>250</v>
      </c>
      <c r="F36" s="187">
        <v>53</v>
      </c>
      <c r="G36" s="19">
        <f t="shared" si="1"/>
        <v>0.45299145299145299</v>
      </c>
      <c r="H36" s="187"/>
    </row>
    <row r="37" spans="1:8" s="186" customFormat="1" hidden="1" x14ac:dyDescent="0.25">
      <c r="A37" s="1">
        <v>41944</v>
      </c>
      <c r="B37" s="84">
        <v>199</v>
      </c>
      <c r="C37" s="53">
        <v>100</v>
      </c>
      <c r="D37" s="27">
        <v>107</v>
      </c>
      <c r="E37" s="187">
        <v>196</v>
      </c>
      <c r="F37" s="187">
        <v>67</v>
      </c>
      <c r="G37" s="19">
        <f t="shared" si="1"/>
        <v>0.62616822429906538</v>
      </c>
      <c r="H37" s="187"/>
    </row>
    <row r="38" spans="1:8" hidden="1" x14ac:dyDescent="0.25">
      <c r="A38" s="1">
        <v>41974</v>
      </c>
      <c r="B38" s="84">
        <v>164</v>
      </c>
      <c r="C38" s="53">
        <v>100</v>
      </c>
      <c r="D38" s="27">
        <v>96</v>
      </c>
      <c r="E38" s="37">
        <v>179</v>
      </c>
      <c r="F38" s="37">
        <v>72</v>
      </c>
      <c r="G38" s="212">
        <f t="shared" si="1"/>
        <v>0.75</v>
      </c>
    </row>
    <row r="39" spans="1:8" s="186" customFormat="1" hidden="1" x14ac:dyDescent="0.25">
      <c r="A39" s="1">
        <v>42005</v>
      </c>
      <c r="B39" s="84">
        <v>220</v>
      </c>
      <c r="C39" s="53">
        <v>100</v>
      </c>
      <c r="D39" s="27">
        <v>126</v>
      </c>
      <c r="E39" s="187">
        <v>179</v>
      </c>
      <c r="F39" s="187">
        <v>73</v>
      </c>
      <c r="G39" s="212">
        <f t="shared" si="1"/>
        <v>0.57936507936507942</v>
      </c>
      <c r="H39" s="187"/>
    </row>
    <row r="40" spans="1:8" s="186" customFormat="1" hidden="1" x14ac:dyDescent="0.25">
      <c r="A40" s="1">
        <v>42036</v>
      </c>
      <c r="B40" s="84">
        <v>248</v>
      </c>
      <c r="C40" s="53">
        <v>100</v>
      </c>
      <c r="D40" s="27">
        <v>126</v>
      </c>
      <c r="E40" s="187">
        <v>238</v>
      </c>
      <c r="F40" s="187">
        <v>75</v>
      </c>
      <c r="G40" s="212">
        <f t="shared" si="1"/>
        <v>0.59523809523809523</v>
      </c>
      <c r="H40" s="187"/>
    </row>
    <row r="41" spans="1:8" s="186" customFormat="1" hidden="1" x14ac:dyDescent="0.25">
      <c r="A41" s="1">
        <v>42064</v>
      </c>
      <c r="B41" s="84">
        <v>239</v>
      </c>
      <c r="C41" s="53">
        <v>100</v>
      </c>
      <c r="D41" s="27">
        <v>122</v>
      </c>
      <c r="E41" s="187">
        <v>251</v>
      </c>
      <c r="F41" s="187">
        <v>70</v>
      </c>
      <c r="G41" s="212">
        <f t="shared" si="1"/>
        <v>0.57377049180327866</v>
      </c>
      <c r="H41" s="187"/>
    </row>
    <row r="42" spans="1:8" s="186" customFormat="1" hidden="1" x14ac:dyDescent="0.25">
      <c r="A42" s="1">
        <v>42095</v>
      </c>
      <c r="B42" s="84">
        <v>229</v>
      </c>
      <c r="C42" s="53">
        <v>100</v>
      </c>
      <c r="D42" s="27">
        <v>133</v>
      </c>
      <c r="E42" s="187">
        <v>216</v>
      </c>
      <c r="F42" s="187">
        <v>69</v>
      </c>
      <c r="G42" s="212">
        <f t="shared" si="1"/>
        <v>0.51879699248120303</v>
      </c>
      <c r="H42" s="187"/>
    </row>
    <row r="43" spans="1:8" s="186" customFormat="1" x14ac:dyDescent="0.25">
      <c r="A43" s="1">
        <v>42125</v>
      </c>
      <c r="B43" s="84">
        <v>169</v>
      </c>
      <c r="C43" s="53">
        <v>100</v>
      </c>
      <c r="D43" s="27">
        <v>36</v>
      </c>
      <c r="E43" s="187">
        <v>201</v>
      </c>
      <c r="F43" s="187">
        <v>5</v>
      </c>
      <c r="G43" s="212">
        <f t="shared" si="1"/>
        <v>0.1388888888888889</v>
      </c>
      <c r="H43" s="187"/>
    </row>
    <row r="44" spans="1:8" s="186" customFormat="1" x14ac:dyDescent="0.25">
      <c r="A44" s="1">
        <v>42156</v>
      </c>
      <c r="B44" s="84">
        <v>227</v>
      </c>
      <c r="C44" s="53">
        <v>100</v>
      </c>
      <c r="D44" s="27">
        <v>48</v>
      </c>
      <c r="E44" s="187">
        <v>221</v>
      </c>
      <c r="F44" s="187">
        <v>0</v>
      </c>
      <c r="G44" s="212">
        <f t="shared" si="1"/>
        <v>0</v>
      </c>
      <c r="H44" s="187"/>
    </row>
    <row r="45" spans="1:8" s="186" customFormat="1" x14ac:dyDescent="0.25">
      <c r="A45" s="1">
        <v>42200</v>
      </c>
      <c r="B45" s="84">
        <v>245</v>
      </c>
      <c r="C45" s="53">
        <v>100</v>
      </c>
      <c r="D45" s="27">
        <v>85</v>
      </c>
      <c r="E45" s="187">
        <v>215</v>
      </c>
      <c r="F45" s="187">
        <v>5</v>
      </c>
      <c r="G45" s="212">
        <f t="shared" si="1"/>
        <v>5.8823529411764705E-2</v>
      </c>
      <c r="H45" s="187"/>
    </row>
    <row r="46" spans="1:8" s="186" customFormat="1" x14ac:dyDescent="0.25">
      <c r="A46" s="1">
        <v>42231</v>
      </c>
      <c r="B46" s="84">
        <v>257</v>
      </c>
      <c r="C46" s="53">
        <v>100</v>
      </c>
      <c r="D46" s="27">
        <v>85</v>
      </c>
      <c r="E46" s="187">
        <v>255</v>
      </c>
      <c r="F46" s="187">
        <v>10</v>
      </c>
      <c r="G46" s="212">
        <f t="shared" si="1"/>
        <v>0.11764705882352941</v>
      </c>
      <c r="H46" s="187"/>
    </row>
    <row r="47" spans="1:8" s="186" customFormat="1" x14ac:dyDescent="0.25">
      <c r="A47" s="1">
        <v>42262</v>
      </c>
      <c r="B47" s="84">
        <v>230</v>
      </c>
      <c r="C47" s="53">
        <v>100</v>
      </c>
      <c r="D47" s="27">
        <v>89</v>
      </c>
      <c r="E47" s="187">
        <v>215</v>
      </c>
      <c r="F47" s="187">
        <v>18</v>
      </c>
      <c r="G47" s="212">
        <f t="shared" si="1"/>
        <v>0.20224719101123595</v>
      </c>
      <c r="H47" s="187"/>
    </row>
    <row r="48" spans="1:8" s="186" customFormat="1" x14ac:dyDescent="0.25">
      <c r="A48" s="1">
        <v>42292</v>
      </c>
      <c r="B48" s="84">
        <v>257</v>
      </c>
      <c r="C48" s="53">
        <v>100</v>
      </c>
      <c r="D48" s="27">
        <v>73</v>
      </c>
      <c r="E48" s="187">
        <v>252</v>
      </c>
      <c r="F48" s="187">
        <v>19</v>
      </c>
      <c r="G48" s="212">
        <f t="shared" si="1"/>
        <v>0.26027397260273971</v>
      </c>
      <c r="H48" s="187"/>
    </row>
    <row r="49" spans="1:18" s="186" customFormat="1" x14ac:dyDescent="0.25">
      <c r="A49" s="1">
        <v>42309</v>
      </c>
      <c r="B49" s="84">
        <v>166</v>
      </c>
      <c r="C49" s="53">
        <v>100</v>
      </c>
      <c r="D49" s="27">
        <v>78</v>
      </c>
      <c r="E49" s="187">
        <v>152</v>
      </c>
      <c r="F49" s="187">
        <v>32</v>
      </c>
      <c r="G49" s="212">
        <f t="shared" si="1"/>
        <v>0.41025641025641024</v>
      </c>
      <c r="H49" s="187"/>
    </row>
    <row r="50" spans="1:18" s="186" customFormat="1" x14ac:dyDescent="0.25">
      <c r="A50" s="1">
        <v>42353</v>
      </c>
      <c r="B50" s="84">
        <v>168</v>
      </c>
      <c r="C50" s="53">
        <v>100</v>
      </c>
      <c r="D50" s="27">
        <v>89</v>
      </c>
      <c r="E50" s="187">
        <v>143</v>
      </c>
      <c r="F50" s="187">
        <v>31</v>
      </c>
      <c r="G50" s="212">
        <f t="shared" si="1"/>
        <v>0.34831460674157305</v>
      </c>
      <c r="H50" s="187"/>
    </row>
    <row r="51" spans="1:18" s="186" customFormat="1" x14ac:dyDescent="0.25">
      <c r="A51" s="1">
        <v>42370</v>
      </c>
      <c r="B51" s="84">
        <v>233</v>
      </c>
      <c r="C51" s="53">
        <v>100</v>
      </c>
      <c r="D51" s="27">
        <v>99</v>
      </c>
      <c r="E51" s="187">
        <v>198</v>
      </c>
      <c r="F51" s="187">
        <v>34</v>
      </c>
      <c r="G51" s="212">
        <f t="shared" si="1"/>
        <v>0.34343434343434343</v>
      </c>
      <c r="H51" s="187"/>
    </row>
    <row r="52" spans="1:18" s="186" customFormat="1" x14ac:dyDescent="0.25">
      <c r="A52" s="1">
        <v>42401</v>
      </c>
      <c r="B52" s="84">
        <v>171</v>
      </c>
      <c r="C52" s="53">
        <v>100</v>
      </c>
      <c r="D52" s="27">
        <v>81</v>
      </c>
      <c r="E52" s="187">
        <v>174</v>
      </c>
      <c r="F52" s="187">
        <v>42</v>
      </c>
      <c r="G52" s="212">
        <f t="shared" si="1"/>
        <v>0.51851851851851849</v>
      </c>
      <c r="H52" s="187"/>
    </row>
    <row r="53" spans="1:18" s="186" customFormat="1" x14ac:dyDescent="0.25">
      <c r="A53" s="1">
        <v>42430</v>
      </c>
      <c r="B53" s="84">
        <v>265</v>
      </c>
      <c r="C53" s="53">
        <v>100</v>
      </c>
      <c r="D53" s="27">
        <v>108</v>
      </c>
      <c r="E53" s="187">
        <v>239</v>
      </c>
      <c r="F53" s="187">
        <v>46</v>
      </c>
      <c r="G53" s="212">
        <f t="shared" si="1"/>
        <v>0.42592592592592593</v>
      </c>
      <c r="H53" s="187"/>
    </row>
    <row r="54" spans="1:18" s="186" customFormat="1" x14ac:dyDescent="0.25">
      <c r="A54" s="1">
        <v>42461</v>
      </c>
      <c r="B54" s="84">
        <v>236</v>
      </c>
      <c r="C54" s="53">
        <v>100</v>
      </c>
      <c r="D54" s="27">
        <v>97</v>
      </c>
      <c r="E54" s="187">
        <v>232</v>
      </c>
      <c r="F54" s="187">
        <v>48</v>
      </c>
      <c r="G54" s="212">
        <f t="shared" si="1"/>
        <v>0.49484536082474229</v>
      </c>
      <c r="H54" s="187"/>
    </row>
    <row r="55" spans="1:18" s="186" customFormat="1" x14ac:dyDescent="0.25">
      <c r="A55" s="1">
        <v>42491</v>
      </c>
      <c r="B55" s="84">
        <v>240</v>
      </c>
      <c r="C55" s="53">
        <v>100</v>
      </c>
      <c r="D55" s="27">
        <v>96</v>
      </c>
      <c r="E55" s="187">
        <v>229</v>
      </c>
      <c r="F55" s="187">
        <v>47</v>
      </c>
      <c r="G55" s="212">
        <f t="shared" si="1"/>
        <v>0.48958333333333331</v>
      </c>
      <c r="H55" s="187"/>
    </row>
    <row r="56" spans="1:18" s="186" customFormat="1" x14ac:dyDescent="0.25">
      <c r="A56" s="1">
        <v>42522</v>
      </c>
      <c r="B56" s="84">
        <v>220</v>
      </c>
      <c r="C56" s="53">
        <v>100</v>
      </c>
      <c r="D56" s="27">
        <v>122</v>
      </c>
      <c r="E56" s="187">
        <v>168</v>
      </c>
      <c r="F56" s="187">
        <v>48</v>
      </c>
      <c r="G56" s="212">
        <f t="shared" si="1"/>
        <v>0.39344262295081966</v>
      </c>
      <c r="H56" s="187"/>
    </row>
    <row r="57" spans="1:18" s="186" customFormat="1" x14ac:dyDescent="0.25">
      <c r="A57" s="1">
        <v>42552</v>
      </c>
      <c r="B57" s="84">
        <v>217</v>
      </c>
      <c r="C57" s="53">
        <v>100</v>
      </c>
      <c r="D57" s="27">
        <v>130</v>
      </c>
      <c r="E57" s="187">
        <v>199</v>
      </c>
      <c r="F57" s="187">
        <v>68</v>
      </c>
      <c r="G57" s="212">
        <f t="shared" si="1"/>
        <v>0.52307692307692311</v>
      </c>
      <c r="H57" s="187"/>
    </row>
    <row r="58" spans="1:18" s="186" customFormat="1" x14ac:dyDescent="0.25">
      <c r="A58" s="1">
        <v>42583</v>
      </c>
      <c r="B58" s="84">
        <v>253</v>
      </c>
      <c r="C58" s="53">
        <v>100</v>
      </c>
      <c r="D58" s="27">
        <v>118</v>
      </c>
      <c r="E58" s="187">
        <v>263</v>
      </c>
      <c r="F58" s="187">
        <v>54</v>
      </c>
      <c r="G58" s="212">
        <f t="shared" si="1"/>
        <v>0.4576271186440678</v>
      </c>
      <c r="H58" s="187"/>
    </row>
    <row r="59" spans="1:18" s="186" customFormat="1" x14ac:dyDescent="0.25">
      <c r="A59" s="1"/>
      <c r="B59" s="1"/>
      <c r="C59" s="84"/>
      <c r="D59" s="187"/>
      <c r="E59" s="187"/>
      <c r="F59" s="187"/>
      <c r="G59" s="212"/>
      <c r="H59" s="187"/>
    </row>
    <row r="60" spans="1:18" ht="51.75" x14ac:dyDescent="0.25">
      <c r="A60" s="11" t="s">
        <v>57</v>
      </c>
      <c r="B60" s="157" t="s">
        <v>2</v>
      </c>
      <c r="C60" s="156" t="s">
        <v>41</v>
      </c>
      <c r="D60" s="156" t="s">
        <v>42</v>
      </c>
      <c r="E60" s="157" t="s">
        <v>3</v>
      </c>
      <c r="F60" s="156" t="s">
        <v>41</v>
      </c>
      <c r="G60" s="156" t="s">
        <v>42</v>
      </c>
      <c r="H60" s="157" t="s">
        <v>4</v>
      </c>
      <c r="I60" s="156" t="s">
        <v>41</v>
      </c>
      <c r="J60" s="156" t="s">
        <v>42</v>
      </c>
      <c r="K60" s="157" t="s">
        <v>5</v>
      </c>
      <c r="L60" s="156" t="s">
        <v>41</v>
      </c>
      <c r="M60" s="156" t="s">
        <v>42</v>
      </c>
      <c r="N60" s="157" t="s">
        <v>6</v>
      </c>
      <c r="O60" s="156" t="s">
        <v>41</v>
      </c>
      <c r="P60" s="156" t="s">
        <v>42</v>
      </c>
      <c r="Q60" s="157" t="s">
        <v>7</v>
      </c>
      <c r="R60" s="156" t="s">
        <v>175</v>
      </c>
    </row>
    <row r="61" spans="1:18" hidden="1" x14ac:dyDescent="0.25">
      <c r="A61" s="12">
        <v>40817</v>
      </c>
      <c r="B61" s="7">
        <v>0.9</v>
      </c>
      <c r="C61" s="43" t="s">
        <v>94</v>
      </c>
      <c r="D61" s="43" t="s">
        <v>62</v>
      </c>
      <c r="E61" s="7">
        <f t="shared" ref="E61:E73" si="2">D61/C61</f>
        <v>0.77727272727272723</v>
      </c>
      <c r="F61" s="43"/>
      <c r="G61" s="43"/>
      <c r="H61" s="7" t="s">
        <v>39</v>
      </c>
      <c r="I61" s="43"/>
      <c r="J61" s="43"/>
      <c r="K61" s="7">
        <v>0.1</v>
      </c>
      <c r="L61" s="43"/>
      <c r="M61" s="43"/>
      <c r="N61" s="7">
        <v>0.53</v>
      </c>
      <c r="O61" s="48"/>
      <c r="P61" s="48"/>
      <c r="Q61" s="7">
        <v>0.84</v>
      </c>
    </row>
    <row r="62" spans="1:18" hidden="1" x14ac:dyDescent="0.25">
      <c r="A62" s="12">
        <v>40848</v>
      </c>
      <c r="B62" s="7">
        <v>0.9</v>
      </c>
      <c r="C62" s="43" t="s">
        <v>96</v>
      </c>
      <c r="D62" s="43" t="s">
        <v>83</v>
      </c>
      <c r="E62" s="7">
        <f t="shared" si="2"/>
        <v>0.75369458128078815</v>
      </c>
      <c r="F62" s="43"/>
      <c r="G62" s="43"/>
      <c r="H62" s="7" t="s">
        <v>39</v>
      </c>
      <c r="I62" s="43"/>
      <c r="J62" s="43"/>
      <c r="K62" s="7">
        <v>0.2</v>
      </c>
      <c r="L62" s="43"/>
      <c r="M62" s="43"/>
      <c r="N62" s="7">
        <v>0.69</v>
      </c>
      <c r="O62" s="48"/>
      <c r="P62" s="48"/>
      <c r="Q62" s="7">
        <v>0.77</v>
      </c>
    </row>
    <row r="63" spans="1:18" hidden="1" x14ac:dyDescent="0.25">
      <c r="A63" s="12">
        <v>40878</v>
      </c>
      <c r="B63" s="7">
        <v>0.9</v>
      </c>
      <c r="C63" s="43" t="s">
        <v>95</v>
      </c>
      <c r="D63" s="43" t="s">
        <v>93</v>
      </c>
      <c r="E63" s="7">
        <f t="shared" si="2"/>
        <v>0.64940239043824699</v>
      </c>
      <c r="F63" s="43"/>
      <c r="G63" s="43"/>
      <c r="H63" s="7" t="s">
        <v>39</v>
      </c>
      <c r="I63" s="43"/>
      <c r="J63" s="43"/>
      <c r="K63" s="7">
        <v>0.33</v>
      </c>
      <c r="L63" s="43"/>
      <c r="M63" s="43"/>
      <c r="N63" s="7">
        <v>0.1</v>
      </c>
      <c r="O63" s="48"/>
      <c r="P63" s="48"/>
      <c r="Q63" s="7">
        <v>0.69</v>
      </c>
    </row>
    <row r="64" spans="1:18" hidden="1" x14ac:dyDescent="0.25">
      <c r="A64" s="12">
        <v>40909</v>
      </c>
      <c r="B64" s="7">
        <v>0.9</v>
      </c>
      <c r="C64" s="43" t="s">
        <v>97</v>
      </c>
      <c r="D64" s="43" t="s">
        <v>92</v>
      </c>
      <c r="E64" s="7">
        <f t="shared" si="2"/>
        <v>0.55675675675675673</v>
      </c>
      <c r="F64" s="43"/>
      <c r="G64" s="43"/>
      <c r="H64" s="7" t="s">
        <v>39</v>
      </c>
      <c r="I64" s="43"/>
      <c r="J64" s="43"/>
      <c r="K64" s="7">
        <v>0.66</v>
      </c>
      <c r="L64" s="43"/>
      <c r="M64" s="43"/>
      <c r="N64" s="7">
        <v>0.5</v>
      </c>
      <c r="O64" s="48"/>
      <c r="P64" s="48"/>
      <c r="Q64" s="7">
        <v>0.56999999999999995</v>
      </c>
    </row>
    <row r="65" spans="1:18" hidden="1" x14ac:dyDescent="0.25">
      <c r="A65" s="12">
        <v>40940</v>
      </c>
      <c r="B65" s="7">
        <v>0.9</v>
      </c>
      <c r="C65" s="43" t="s">
        <v>98</v>
      </c>
      <c r="D65" s="43" t="s">
        <v>91</v>
      </c>
      <c r="E65" s="7">
        <f t="shared" si="2"/>
        <v>0.64077669902912626</v>
      </c>
      <c r="F65" s="43"/>
      <c r="G65" s="43"/>
      <c r="H65" s="7" t="s">
        <v>39</v>
      </c>
      <c r="I65" s="43"/>
      <c r="J65" s="43"/>
      <c r="K65" s="7">
        <v>0.17</v>
      </c>
      <c r="L65" s="43"/>
      <c r="M65" s="43"/>
      <c r="N65" s="7">
        <v>0.47</v>
      </c>
      <c r="O65" s="48"/>
      <c r="P65" s="48"/>
      <c r="Q65" s="7">
        <v>0.67</v>
      </c>
    </row>
    <row r="66" spans="1:18" hidden="1" x14ac:dyDescent="0.25">
      <c r="A66" s="12">
        <v>40969</v>
      </c>
      <c r="B66" s="7">
        <v>0.9</v>
      </c>
      <c r="C66" s="43" t="s">
        <v>90</v>
      </c>
      <c r="D66" s="43" t="s">
        <v>87</v>
      </c>
      <c r="E66" s="7">
        <f t="shared" si="2"/>
        <v>0.93641618497109824</v>
      </c>
      <c r="F66" s="43" t="s">
        <v>85</v>
      </c>
      <c r="G66" s="43" t="s">
        <v>85</v>
      </c>
      <c r="H66" s="7">
        <f t="shared" ref="H66:H97" si="3">G66/F66</f>
        <v>1</v>
      </c>
      <c r="I66" s="43" t="s">
        <v>75</v>
      </c>
      <c r="J66" s="43" t="s">
        <v>84</v>
      </c>
      <c r="K66" s="7">
        <f t="shared" ref="K66:K73" si="4">J66/I66</f>
        <v>0.6</v>
      </c>
      <c r="L66" s="43" t="s">
        <v>60</v>
      </c>
      <c r="M66" s="43" t="s">
        <v>59</v>
      </c>
      <c r="N66" s="101">
        <f t="shared" ref="N66:N73" si="5">M66/L66</f>
        <v>0.7857142857142857</v>
      </c>
      <c r="O66" s="48" t="s">
        <v>83</v>
      </c>
      <c r="P66" s="48" t="s">
        <v>80</v>
      </c>
      <c r="Q66" s="7">
        <f t="shared" ref="Q66:Q73" si="6">P66/O66</f>
        <v>0.96078431372549022</v>
      </c>
      <c r="R66" s="45"/>
    </row>
    <row r="67" spans="1:18" hidden="1" x14ac:dyDescent="0.25">
      <c r="A67" s="12">
        <v>41000</v>
      </c>
      <c r="B67" s="7">
        <v>0.9</v>
      </c>
      <c r="C67" s="43" t="s">
        <v>89</v>
      </c>
      <c r="D67" s="43" t="s">
        <v>88</v>
      </c>
      <c r="E67" s="7">
        <f t="shared" si="2"/>
        <v>0.77586206896551724</v>
      </c>
      <c r="F67" s="43" t="s">
        <v>76</v>
      </c>
      <c r="G67" s="43" t="s">
        <v>86</v>
      </c>
      <c r="H67" s="7">
        <f t="shared" si="3"/>
        <v>0.5</v>
      </c>
      <c r="I67" s="43" t="s">
        <v>76</v>
      </c>
      <c r="J67" s="43" t="s">
        <v>85</v>
      </c>
      <c r="K67" s="7">
        <f t="shared" si="4"/>
        <v>0.25</v>
      </c>
      <c r="L67" s="43" t="s">
        <v>73</v>
      </c>
      <c r="M67" s="43" t="s">
        <v>76</v>
      </c>
      <c r="N67" s="101">
        <f t="shared" si="5"/>
        <v>0.4</v>
      </c>
      <c r="O67" s="48" t="s">
        <v>82</v>
      </c>
      <c r="P67" s="48" t="s">
        <v>81</v>
      </c>
      <c r="Q67" s="7">
        <f t="shared" si="6"/>
        <v>0.82051282051282048</v>
      </c>
    </row>
    <row r="68" spans="1:18" hidden="1" x14ac:dyDescent="0.25">
      <c r="A68" s="12">
        <v>41030</v>
      </c>
      <c r="B68" s="7">
        <v>0.9</v>
      </c>
      <c r="C68" s="52">
        <v>201</v>
      </c>
      <c r="D68" s="52">
        <v>191</v>
      </c>
      <c r="E68" s="7">
        <f t="shared" si="2"/>
        <v>0.95024875621890548</v>
      </c>
      <c r="F68" s="52">
        <v>2</v>
      </c>
      <c r="G68" s="52">
        <v>1</v>
      </c>
      <c r="H68" s="7">
        <f t="shared" si="3"/>
        <v>0.5</v>
      </c>
      <c r="I68" s="52">
        <v>9</v>
      </c>
      <c r="J68" s="52">
        <v>5</v>
      </c>
      <c r="K68" s="7">
        <f t="shared" si="4"/>
        <v>0.55555555555555558</v>
      </c>
      <c r="L68" s="52">
        <v>18</v>
      </c>
      <c r="M68" s="52">
        <v>16</v>
      </c>
      <c r="N68" s="101">
        <f t="shared" si="5"/>
        <v>0.88888888888888884</v>
      </c>
      <c r="O68" s="53">
        <v>172</v>
      </c>
      <c r="P68" s="53">
        <v>169</v>
      </c>
      <c r="Q68" s="7">
        <f t="shared" si="6"/>
        <v>0.98255813953488369</v>
      </c>
    </row>
    <row r="69" spans="1:18" hidden="1" x14ac:dyDescent="0.25">
      <c r="A69" s="12">
        <v>41061</v>
      </c>
      <c r="B69" s="7">
        <v>0.9</v>
      </c>
      <c r="C69" s="43" t="s">
        <v>71</v>
      </c>
      <c r="D69" s="43" t="s">
        <v>195</v>
      </c>
      <c r="E69" s="7">
        <f t="shared" si="2"/>
        <v>0.848314606741573</v>
      </c>
      <c r="F69" s="43" t="s">
        <v>158</v>
      </c>
      <c r="G69" s="43" t="s">
        <v>158</v>
      </c>
      <c r="H69" s="7" t="e">
        <f t="shared" si="3"/>
        <v>#DIV/0!</v>
      </c>
      <c r="I69" s="43" t="s">
        <v>85</v>
      </c>
      <c r="J69" s="43" t="s">
        <v>85</v>
      </c>
      <c r="K69" s="7">
        <f t="shared" si="4"/>
        <v>1</v>
      </c>
      <c r="L69" s="43" t="s">
        <v>60</v>
      </c>
      <c r="M69" s="43" t="s">
        <v>73</v>
      </c>
      <c r="N69" s="101">
        <f t="shared" si="5"/>
        <v>0.7142857142857143</v>
      </c>
      <c r="O69" s="48" t="s">
        <v>93</v>
      </c>
      <c r="P69" s="48" t="s">
        <v>172</v>
      </c>
      <c r="Q69" s="7">
        <f t="shared" si="6"/>
        <v>0.86503067484662577</v>
      </c>
      <c r="R69">
        <v>7</v>
      </c>
    </row>
    <row r="70" spans="1:18" hidden="1" x14ac:dyDescent="0.25">
      <c r="A70" s="12">
        <v>41091</v>
      </c>
      <c r="B70" s="7">
        <v>0.9</v>
      </c>
      <c r="C70" s="43">
        <f>F70+I70+L70+O70</f>
        <v>92</v>
      </c>
      <c r="D70" s="79">
        <f>G70+J70+M70+P70</f>
        <v>76</v>
      </c>
      <c r="E70" s="7">
        <f t="shared" si="2"/>
        <v>0.82608695652173914</v>
      </c>
      <c r="F70" s="43" t="s">
        <v>85</v>
      </c>
      <c r="G70" s="43" t="s">
        <v>85</v>
      </c>
      <c r="H70" s="7">
        <f t="shared" si="3"/>
        <v>1</v>
      </c>
      <c r="I70" s="43" t="s">
        <v>84</v>
      </c>
      <c r="J70" s="43" t="s">
        <v>86</v>
      </c>
      <c r="K70" s="7">
        <f t="shared" si="4"/>
        <v>0.66666666666666663</v>
      </c>
      <c r="L70" s="43" t="s">
        <v>196</v>
      </c>
      <c r="M70" s="43" t="s">
        <v>197</v>
      </c>
      <c r="N70" s="101">
        <f t="shared" si="5"/>
        <v>0.77272727272727271</v>
      </c>
      <c r="O70" s="48" t="s">
        <v>198</v>
      </c>
      <c r="P70" s="48" t="s">
        <v>141</v>
      </c>
      <c r="Q70" s="7">
        <f t="shared" si="6"/>
        <v>0.84848484848484851</v>
      </c>
      <c r="R70">
        <v>60</v>
      </c>
    </row>
    <row r="71" spans="1:18" hidden="1" x14ac:dyDescent="0.25">
      <c r="A71" s="12">
        <v>41122</v>
      </c>
      <c r="B71" s="7">
        <v>0.9</v>
      </c>
      <c r="C71" s="43" t="s">
        <v>225</v>
      </c>
      <c r="D71" s="43" t="s">
        <v>226</v>
      </c>
      <c r="E71" s="7">
        <f t="shared" si="2"/>
        <v>0.90404040404040409</v>
      </c>
      <c r="F71" s="43" t="s">
        <v>85</v>
      </c>
      <c r="G71" s="43" t="s">
        <v>85</v>
      </c>
      <c r="H71" s="7">
        <f t="shared" si="3"/>
        <v>1</v>
      </c>
      <c r="I71" s="43" t="s">
        <v>223</v>
      </c>
      <c r="J71" s="43" t="s">
        <v>75</v>
      </c>
      <c r="K71" s="7">
        <f t="shared" si="4"/>
        <v>0.7142857142857143</v>
      </c>
      <c r="L71" s="43" t="s">
        <v>228</v>
      </c>
      <c r="M71" s="43" t="s">
        <v>227</v>
      </c>
      <c r="N71" s="101">
        <f t="shared" si="5"/>
        <v>0.77777777777777779</v>
      </c>
      <c r="O71" s="48" t="s">
        <v>93</v>
      </c>
      <c r="P71" s="48" t="s">
        <v>229</v>
      </c>
      <c r="Q71" s="7">
        <f t="shared" si="6"/>
        <v>0.93251533742331283</v>
      </c>
      <c r="R71">
        <v>29</v>
      </c>
    </row>
    <row r="72" spans="1:18" hidden="1" x14ac:dyDescent="0.25">
      <c r="A72" s="12">
        <v>41153</v>
      </c>
      <c r="B72" s="7">
        <v>0.9</v>
      </c>
      <c r="C72" s="43" t="s">
        <v>244</v>
      </c>
      <c r="D72" s="43" t="s">
        <v>88</v>
      </c>
      <c r="E72" s="7">
        <f t="shared" si="2"/>
        <v>0.81325301204819278</v>
      </c>
      <c r="F72" s="43" t="s">
        <v>86</v>
      </c>
      <c r="G72" s="43" t="s">
        <v>85</v>
      </c>
      <c r="H72" s="7">
        <f t="shared" si="3"/>
        <v>0.5</v>
      </c>
      <c r="I72" s="43" t="s">
        <v>157</v>
      </c>
      <c r="J72" s="43" t="s">
        <v>84</v>
      </c>
      <c r="K72" s="7">
        <f t="shared" si="4"/>
        <v>0.5</v>
      </c>
      <c r="L72" s="43" t="s">
        <v>245</v>
      </c>
      <c r="M72" s="43" t="s">
        <v>132</v>
      </c>
      <c r="N72" s="101">
        <f t="shared" si="5"/>
        <v>0.84848484848484851</v>
      </c>
      <c r="O72" s="48" t="s">
        <v>111</v>
      </c>
      <c r="P72" s="48" t="s">
        <v>116</v>
      </c>
      <c r="Q72" s="7">
        <f t="shared" si="6"/>
        <v>0.81599999999999995</v>
      </c>
      <c r="R72">
        <v>3</v>
      </c>
    </row>
    <row r="73" spans="1:18" hidden="1" x14ac:dyDescent="0.25">
      <c r="A73" s="12">
        <v>41183</v>
      </c>
      <c r="B73" s="7">
        <v>0.9</v>
      </c>
      <c r="C73" s="43" t="s">
        <v>255</v>
      </c>
      <c r="D73" s="43" t="s">
        <v>256</v>
      </c>
      <c r="E73" s="7">
        <f t="shared" si="2"/>
        <v>0.90228013029315957</v>
      </c>
      <c r="F73" s="43" t="s">
        <v>85</v>
      </c>
      <c r="G73" s="43" t="s">
        <v>85</v>
      </c>
      <c r="H73" s="7">
        <f t="shared" si="3"/>
        <v>1</v>
      </c>
      <c r="I73" s="43" t="s">
        <v>73</v>
      </c>
      <c r="J73" s="43" t="s">
        <v>157</v>
      </c>
      <c r="K73" s="7">
        <f t="shared" si="4"/>
        <v>0.6</v>
      </c>
      <c r="L73" s="43" t="s">
        <v>136</v>
      </c>
      <c r="M73" s="43" t="s">
        <v>138</v>
      </c>
      <c r="N73" s="101">
        <f t="shared" si="5"/>
        <v>0.8</v>
      </c>
      <c r="O73" s="48" t="s">
        <v>95</v>
      </c>
      <c r="P73" s="48" t="s">
        <v>257</v>
      </c>
      <c r="Q73" s="7">
        <f t="shared" si="6"/>
        <v>0.9322709163346613</v>
      </c>
      <c r="R73">
        <v>11</v>
      </c>
    </row>
    <row r="74" spans="1:18" hidden="1" x14ac:dyDescent="0.25">
      <c r="A74" s="12">
        <v>41214</v>
      </c>
      <c r="B74" s="7">
        <v>0.9</v>
      </c>
      <c r="C74" s="43" t="s">
        <v>268</v>
      </c>
      <c r="D74" s="43" t="s">
        <v>269</v>
      </c>
      <c r="E74" s="7">
        <f t="shared" ref="E74:E92" si="7">D74/C74</f>
        <v>0.97619047619047616</v>
      </c>
      <c r="F74" s="43" t="s">
        <v>158</v>
      </c>
      <c r="G74" s="43" t="s">
        <v>158</v>
      </c>
      <c r="H74" s="52" t="e">
        <f t="shared" si="3"/>
        <v>#DIV/0!</v>
      </c>
      <c r="I74" s="43" t="s">
        <v>85</v>
      </c>
      <c r="J74" s="43" t="s">
        <v>85</v>
      </c>
      <c r="K74" s="7">
        <f t="shared" ref="K74:K89" si="8">J74/I74</f>
        <v>1</v>
      </c>
      <c r="L74" s="43" t="s">
        <v>270</v>
      </c>
      <c r="M74" s="43" t="s">
        <v>271</v>
      </c>
      <c r="N74" s="101">
        <f t="shared" ref="N74:N89" si="9">M74/L74</f>
        <v>0.94736842105263153</v>
      </c>
      <c r="O74" s="48" t="s">
        <v>272</v>
      </c>
      <c r="P74" s="48" t="s">
        <v>273</v>
      </c>
      <c r="Q74" s="7">
        <f t="shared" ref="Q74:Q89" si="10">P74/O74</f>
        <v>0.97894736842105268</v>
      </c>
      <c r="R74">
        <v>5</v>
      </c>
    </row>
    <row r="75" spans="1:18" hidden="1" x14ac:dyDescent="0.25">
      <c r="A75" s="12">
        <v>41244</v>
      </c>
      <c r="B75" s="7">
        <v>0.9</v>
      </c>
      <c r="C75" s="43" t="s">
        <v>283</v>
      </c>
      <c r="D75" s="43" t="s">
        <v>195</v>
      </c>
      <c r="E75" s="101">
        <f t="shared" si="7"/>
        <v>0.96178343949044587</v>
      </c>
      <c r="F75" s="43" t="s">
        <v>158</v>
      </c>
      <c r="G75" s="43" t="s">
        <v>158</v>
      </c>
      <c r="H75" s="6" t="e">
        <f t="shared" si="3"/>
        <v>#DIV/0!</v>
      </c>
      <c r="I75" s="43" t="s">
        <v>85</v>
      </c>
      <c r="J75" s="43" t="s">
        <v>85</v>
      </c>
      <c r="K75" s="101">
        <f t="shared" si="8"/>
        <v>1</v>
      </c>
      <c r="L75" s="43" t="s">
        <v>159</v>
      </c>
      <c r="M75" s="43" t="s">
        <v>224</v>
      </c>
      <c r="N75" s="101">
        <f t="shared" si="9"/>
        <v>0.75</v>
      </c>
      <c r="O75" s="48" t="s">
        <v>284</v>
      </c>
      <c r="P75" s="48" t="s">
        <v>172</v>
      </c>
      <c r="Q75" s="7">
        <f t="shared" si="10"/>
        <v>0.97916666666666663</v>
      </c>
      <c r="R75">
        <v>2</v>
      </c>
    </row>
    <row r="76" spans="1:18" hidden="1" x14ac:dyDescent="0.25">
      <c r="A76" s="12">
        <v>41275</v>
      </c>
      <c r="B76" s="7">
        <v>0.9</v>
      </c>
      <c r="C76" s="43" t="s">
        <v>298</v>
      </c>
      <c r="D76" s="43" t="s">
        <v>190</v>
      </c>
      <c r="E76" s="101">
        <f t="shared" si="7"/>
        <v>0.95408163265306123</v>
      </c>
      <c r="F76" s="43" t="s">
        <v>158</v>
      </c>
      <c r="G76" s="43" t="s">
        <v>158</v>
      </c>
      <c r="H76" s="6" t="e">
        <f t="shared" si="3"/>
        <v>#DIV/0!</v>
      </c>
      <c r="I76" s="43" t="s">
        <v>86</v>
      </c>
      <c r="J76" s="43" t="s">
        <v>86</v>
      </c>
      <c r="K76" s="101">
        <f t="shared" si="8"/>
        <v>1</v>
      </c>
      <c r="L76" s="43" t="s">
        <v>84</v>
      </c>
      <c r="M76" s="43" t="s">
        <v>84</v>
      </c>
      <c r="N76" s="101">
        <f t="shared" si="9"/>
        <v>1</v>
      </c>
      <c r="O76" s="48" t="s">
        <v>299</v>
      </c>
      <c r="P76" s="48" t="s">
        <v>300</v>
      </c>
      <c r="Q76" s="7">
        <f t="shared" si="10"/>
        <v>0.95287958115183247</v>
      </c>
      <c r="R76">
        <v>4</v>
      </c>
    </row>
    <row r="77" spans="1:18" hidden="1" x14ac:dyDescent="0.25">
      <c r="A77" s="12">
        <v>41306</v>
      </c>
      <c r="B77" s="7">
        <v>0.9</v>
      </c>
      <c r="C77" s="43" t="s">
        <v>327</v>
      </c>
      <c r="D77" s="43" t="s">
        <v>299</v>
      </c>
      <c r="E77" s="101">
        <f t="shared" si="7"/>
        <v>0.95024875621890548</v>
      </c>
      <c r="F77" s="43" t="s">
        <v>158</v>
      </c>
      <c r="G77" s="43" t="s">
        <v>158</v>
      </c>
      <c r="H77" s="6" t="e">
        <f t="shared" si="3"/>
        <v>#DIV/0!</v>
      </c>
      <c r="I77" s="43" t="s">
        <v>158</v>
      </c>
      <c r="J77" s="43" t="s">
        <v>158</v>
      </c>
      <c r="K77" s="101" t="e">
        <f t="shared" si="8"/>
        <v>#DIV/0!</v>
      </c>
      <c r="L77" s="43" t="s">
        <v>84</v>
      </c>
      <c r="M77" s="43" t="s">
        <v>86</v>
      </c>
      <c r="N77" s="101">
        <f t="shared" si="9"/>
        <v>0.66666666666666663</v>
      </c>
      <c r="O77" s="48" t="s">
        <v>225</v>
      </c>
      <c r="P77" s="48" t="s">
        <v>328</v>
      </c>
      <c r="Q77" s="7">
        <f t="shared" si="10"/>
        <v>0.95454545454545459</v>
      </c>
      <c r="R77">
        <v>0</v>
      </c>
    </row>
    <row r="78" spans="1:18" hidden="1" x14ac:dyDescent="0.25">
      <c r="A78" s="12">
        <v>41334</v>
      </c>
      <c r="B78" s="7">
        <v>0.9</v>
      </c>
      <c r="C78" s="43" t="s">
        <v>345</v>
      </c>
      <c r="D78" s="43" t="s">
        <v>346</v>
      </c>
      <c r="E78" s="101">
        <f t="shared" si="7"/>
        <v>0.94799999999999995</v>
      </c>
      <c r="F78" s="43" t="s">
        <v>158</v>
      </c>
      <c r="G78" s="43" t="s">
        <v>158</v>
      </c>
      <c r="H78" s="6" t="e">
        <f t="shared" si="3"/>
        <v>#DIV/0!</v>
      </c>
      <c r="I78" s="43" t="s">
        <v>84</v>
      </c>
      <c r="J78" s="43" t="s">
        <v>85</v>
      </c>
      <c r="K78" s="101">
        <f t="shared" si="8"/>
        <v>0.33333333333333331</v>
      </c>
      <c r="L78" s="43" t="s">
        <v>224</v>
      </c>
      <c r="M78" s="43" t="s">
        <v>224</v>
      </c>
      <c r="N78" s="101">
        <f t="shared" si="9"/>
        <v>1</v>
      </c>
      <c r="O78" s="48" t="s">
        <v>347</v>
      </c>
      <c r="P78" s="48" t="s">
        <v>348</v>
      </c>
      <c r="Q78" s="7">
        <f t="shared" si="10"/>
        <v>0.95378151260504207</v>
      </c>
      <c r="R78">
        <v>0</v>
      </c>
    </row>
    <row r="79" spans="1:18" hidden="1" x14ac:dyDescent="0.25">
      <c r="A79" s="12">
        <v>41365</v>
      </c>
      <c r="B79" s="7">
        <v>0.9</v>
      </c>
      <c r="C79" s="43" t="s">
        <v>299</v>
      </c>
      <c r="D79" s="43" t="s">
        <v>300</v>
      </c>
      <c r="E79" s="101">
        <f t="shared" si="7"/>
        <v>0.95287958115183247</v>
      </c>
      <c r="F79" s="43" t="s">
        <v>85</v>
      </c>
      <c r="G79" s="43" t="s">
        <v>85</v>
      </c>
      <c r="H79" s="135">
        <f t="shared" si="3"/>
        <v>1</v>
      </c>
      <c r="I79" s="43" t="s">
        <v>85</v>
      </c>
      <c r="J79" s="43" t="s">
        <v>85</v>
      </c>
      <c r="K79" s="101">
        <f t="shared" si="8"/>
        <v>1</v>
      </c>
      <c r="L79" s="43" t="s">
        <v>86</v>
      </c>
      <c r="M79" s="43" t="s">
        <v>85</v>
      </c>
      <c r="N79" s="101">
        <f t="shared" si="9"/>
        <v>0.5</v>
      </c>
      <c r="O79" s="48" t="s">
        <v>190</v>
      </c>
      <c r="P79" s="48" t="s">
        <v>226</v>
      </c>
      <c r="Q79" s="7">
        <f t="shared" si="10"/>
        <v>0.95721925133689845</v>
      </c>
      <c r="R79">
        <v>2</v>
      </c>
    </row>
    <row r="80" spans="1:18" hidden="1" x14ac:dyDescent="0.25">
      <c r="A80" s="12">
        <v>41395</v>
      </c>
      <c r="B80" s="7">
        <v>0.9</v>
      </c>
      <c r="C80" s="43" t="s">
        <v>257</v>
      </c>
      <c r="D80" s="43" t="s">
        <v>94</v>
      </c>
      <c r="E80" s="101">
        <f t="shared" si="7"/>
        <v>0.94017094017094016</v>
      </c>
      <c r="F80" s="43" t="s">
        <v>85</v>
      </c>
      <c r="G80" s="43" t="s">
        <v>85</v>
      </c>
      <c r="H80" s="135">
        <f t="shared" si="3"/>
        <v>1</v>
      </c>
      <c r="I80" s="43" t="s">
        <v>85</v>
      </c>
      <c r="J80" s="43" t="s">
        <v>85</v>
      </c>
      <c r="K80" s="101">
        <f t="shared" si="8"/>
        <v>1</v>
      </c>
      <c r="L80" s="43" t="s">
        <v>59</v>
      </c>
      <c r="M80" s="43" t="s">
        <v>73</v>
      </c>
      <c r="N80" s="101">
        <f t="shared" si="9"/>
        <v>0.90909090909090906</v>
      </c>
      <c r="O80" s="48" t="s">
        <v>249</v>
      </c>
      <c r="P80" s="48" t="s">
        <v>278</v>
      </c>
      <c r="Q80" s="7">
        <f t="shared" si="10"/>
        <v>0.94117647058823528</v>
      </c>
      <c r="R80">
        <v>33</v>
      </c>
    </row>
    <row r="81" spans="1:18" hidden="1" x14ac:dyDescent="0.25">
      <c r="A81" s="12">
        <v>41426</v>
      </c>
      <c r="B81" s="7">
        <v>0.9</v>
      </c>
      <c r="C81" s="43" t="s">
        <v>376</v>
      </c>
      <c r="D81" s="43" t="s">
        <v>328</v>
      </c>
      <c r="E81" s="101">
        <f t="shared" si="7"/>
        <v>0.96923076923076923</v>
      </c>
      <c r="F81" s="43" t="s">
        <v>84</v>
      </c>
      <c r="G81" s="43" t="s">
        <v>84</v>
      </c>
      <c r="H81" s="135">
        <f t="shared" si="3"/>
        <v>1</v>
      </c>
      <c r="I81" s="43" t="s">
        <v>76</v>
      </c>
      <c r="J81" s="43" t="s">
        <v>76</v>
      </c>
      <c r="K81" s="101">
        <f t="shared" si="8"/>
        <v>1</v>
      </c>
      <c r="L81" s="43" t="s">
        <v>76</v>
      </c>
      <c r="M81" s="43" t="s">
        <v>76</v>
      </c>
      <c r="N81" s="101">
        <f t="shared" si="9"/>
        <v>1</v>
      </c>
      <c r="O81" s="48" t="s">
        <v>205</v>
      </c>
      <c r="P81" s="48" t="s">
        <v>71</v>
      </c>
      <c r="Q81" s="7">
        <f t="shared" si="10"/>
        <v>0.96739130434782605</v>
      </c>
      <c r="R81">
        <v>3</v>
      </c>
    </row>
    <row r="82" spans="1:18" hidden="1" x14ac:dyDescent="0.25">
      <c r="A82" s="12">
        <v>41456</v>
      </c>
      <c r="B82" s="7">
        <v>0.9</v>
      </c>
      <c r="C82" s="43" t="s">
        <v>390</v>
      </c>
      <c r="D82" s="43" t="s">
        <v>391</v>
      </c>
      <c r="E82" s="101">
        <f t="shared" si="7"/>
        <v>0.90948275862068961</v>
      </c>
      <c r="F82" s="43" t="s">
        <v>158</v>
      </c>
      <c r="G82" s="43" t="s">
        <v>158</v>
      </c>
      <c r="H82" s="6" t="e">
        <f t="shared" si="3"/>
        <v>#DIV/0!</v>
      </c>
      <c r="I82" s="43" t="s">
        <v>158</v>
      </c>
      <c r="J82" s="43" t="s">
        <v>158</v>
      </c>
      <c r="K82" s="6" t="e">
        <f t="shared" si="8"/>
        <v>#DIV/0!</v>
      </c>
      <c r="L82" s="43" t="s">
        <v>85</v>
      </c>
      <c r="M82" s="43" t="s">
        <v>85</v>
      </c>
      <c r="N82" s="101">
        <f t="shared" si="9"/>
        <v>1</v>
      </c>
      <c r="O82" s="48" t="s">
        <v>243</v>
      </c>
      <c r="P82" s="48" t="s">
        <v>268</v>
      </c>
      <c r="Q82" s="7">
        <f t="shared" si="10"/>
        <v>0.90909090909090906</v>
      </c>
      <c r="R82">
        <v>14</v>
      </c>
    </row>
    <row r="83" spans="1:18" hidden="1" x14ac:dyDescent="0.25">
      <c r="A83" s="12">
        <v>41487</v>
      </c>
      <c r="B83" s="7">
        <v>0.9</v>
      </c>
      <c r="C83" s="43" t="s">
        <v>396</v>
      </c>
      <c r="D83" s="43" t="s">
        <v>240</v>
      </c>
      <c r="E83" s="101">
        <f t="shared" si="7"/>
        <v>0.92481203007518797</v>
      </c>
      <c r="F83" s="43" t="s">
        <v>86</v>
      </c>
      <c r="G83" s="43" t="s">
        <v>86</v>
      </c>
      <c r="H83" s="7">
        <f t="shared" si="3"/>
        <v>1</v>
      </c>
      <c r="I83" s="43" t="s">
        <v>158</v>
      </c>
      <c r="J83" s="43" t="s">
        <v>158</v>
      </c>
      <c r="K83" s="6" t="e">
        <f t="shared" si="8"/>
        <v>#DIV/0!</v>
      </c>
      <c r="L83" s="43" t="s">
        <v>224</v>
      </c>
      <c r="M83" s="43" t="s">
        <v>223</v>
      </c>
      <c r="N83" s="101">
        <f t="shared" si="9"/>
        <v>0.77777777777777779</v>
      </c>
      <c r="O83" s="48" t="s">
        <v>397</v>
      </c>
      <c r="P83" s="48" t="s">
        <v>346</v>
      </c>
      <c r="Q83" s="7">
        <f t="shared" si="10"/>
        <v>0.92941176470588238</v>
      </c>
      <c r="R83">
        <v>16</v>
      </c>
    </row>
    <row r="84" spans="1:18" hidden="1" x14ac:dyDescent="0.25">
      <c r="A84" s="12">
        <v>41518</v>
      </c>
      <c r="B84" s="7">
        <v>0.9</v>
      </c>
      <c r="C84" s="43" t="s">
        <v>98</v>
      </c>
      <c r="D84" s="43" t="s">
        <v>376</v>
      </c>
      <c r="E84" s="101">
        <f t="shared" si="7"/>
        <v>0.94660194174757284</v>
      </c>
      <c r="F84" s="43" t="s">
        <v>158</v>
      </c>
      <c r="G84" s="43" t="s">
        <v>158</v>
      </c>
      <c r="H84" s="7" t="e">
        <f t="shared" si="3"/>
        <v>#DIV/0!</v>
      </c>
      <c r="I84" s="43" t="s">
        <v>86</v>
      </c>
      <c r="J84" s="43" t="s">
        <v>85</v>
      </c>
      <c r="K84" s="101">
        <f t="shared" si="8"/>
        <v>0.5</v>
      </c>
      <c r="L84" s="43" t="s">
        <v>76</v>
      </c>
      <c r="M84" s="43" t="s">
        <v>86</v>
      </c>
      <c r="N84" s="101">
        <f t="shared" si="9"/>
        <v>0.5</v>
      </c>
      <c r="O84" s="48" t="s">
        <v>404</v>
      </c>
      <c r="P84" s="48" t="s">
        <v>405</v>
      </c>
      <c r="Q84" s="7">
        <f t="shared" si="10"/>
        <v>0.96</v>
      </c>
      <c r="R84">
        <v>19</v>
      </c>
    </row>
    <row r="85" spans="1:18" hidden="1" x14ac:dyDescent="0.25">
      <c r="A85" s="12">
        <v>41548</v>
      </c>
      <c r="B85" s="7">
        <v>0.9</v>
      </c>
      <c r="C85" s="43" t="s">
        <v>255</v>
      </c>
      <c r="D85" s="43" t="s">
        <v>409</v>
      </c>
      <c r="E85" s="101">
        <f t="shared" si="7"/>
        <v>0.96416938110749184</v>
      </c>
      <c r="F85" s="43" t="s">
        <v>86</v>
      </c>
      <c r="G85" s="43" t="s">
        <v>86</v>
      </c>
      <c r="H85" s="7">
        <f t="shared" si="3"/>
        <v>1</v>
      </c>
      <c r="I85" s="43" t="s">
        <v>86</v>
      </c>
      <c r="J85" s="43" t="s">
        <v>86</v>
      </c>
      <c r="K85" s="101">
        <f t="shared" si="8"/>
        <v>1</v>
      </c>
      <c r="L85" s="43" t="s">
        <v>157</v>
      </c>
      <c r="M85" s="43" t="s">
        <v>75</v>
      </c>
      <c r="N85" s="101">
        <f t="shared" si="9"/>
        <v>0.83333333333333337</v>
      </c>
      <c r="O85" s="48" t="s">
        <v>68</v>
      </c>
      <c r="P85" s="48" t="s">
        <v>410</v>
      </c>
      <c r="Q85" s="7">
        <f t="shared" si="10"/>
        <v>0.96632996632996637</v>
      </c>
      <c r="R85">
        <v>4</v>
      </c>
    </row>
    <row r="86" spans="1:18" hidden="1" x14ac:dyDescent="0.25">
      <c r="A86" s="12">
        <v>41579</v>
      </c>
      <c r="B86" s="7">
        <v>0.9</v>
      </c>
      <c r="C86" s="43" t="s">
        <v>222</v>
      </c>
      <c r="D86" s="43" t="s">
        <v>417</v>
      </c>
      <c r="E86" s="101">
        <f t="shared" si="7"/>
        <v>0.98283261802575106</v>
      </c>
      <c r="F86" s="43" t="s">
        <v>85</v>
      </c>
      <c r="G86" s="43" t="s">
        <v>158</v>
      </c>
      <c r="H86" s="7">
        <f t="shared" si="3"/>
        <v>0</v>
      </c>
      <c r="I86" s="43" t="s">
        <v>85</v>
      </c>
      <c r="J86" s="43" t="s">
        <v>85</v>
      </c>
      <c r="K86" s="101">
        <f t="shared" si="8"/>
        <v>1</v>
      </c>
      <c r="L86" s="43" t="s">
        <v>75</v>
      </c>
      <c r="M86" s="43" t="s">
        <v>84</v>
      </c>
      <c r="N86" s="101">
        <f t="shared" si="9"/>
        <v>0.6</v>
      </c>
      <c r="O86" s="48" t="s">
        <v>418</v>
      </c>
      <c r="P86" s="48" t="s">
        <v>419</v>
      </c>
      <c r="Q86" s="7">
        <f t="shared" si="10"/>
        <v>0.99557522123893805</v>
      </c>
      <c r="R86">
        <v>20</v>
      </c>
    </row>
    <row r="87" spans="1:18" hidden="1" x14ac:dyDescent="0.25">
      <c r="A87" s="12">
        <v>41609</v>
      </c>
      <c r="B87" s="7">
        <v>0.9</v>
      </c>
      <c r="C87" s="43" t="s">
        <v>93</v>
      </c>
      <c r="D87" s="43" t="s">
        <v>229</v>
      </c>
      <c r="E87" s="101">
        <f t="shared" si="7"/>
        <v>0.93251533742331283</v>
      </c>
      <c r="F87" s="43" t="s">
        <v>84</v>
      </c>
      <c r="G87" s="43" t="s">
        <v>84</v>
      </c>
      <c r="H87" s="7">
        <f t="shared" si="3"/>
        <v>1</v>
      </c>
      <c r="I87" s="43" t="s">
        <v>158</v>
      </c>
      <c r="J87" s="43" t="s">
        <v>158</v>
      </c>
      <c r="K87" s="101" t="e">
        <f t="shared" si="8"/>
        <v>#DIV/0!</v>
      </c>
      <c r="L87" s="43" t="s">
        <v>73</v>
      </c>
      <c r="M87" s="43" t="s">
        <v>157</v>
      </c>
      <c r="N87" s="101">
        <f t="shared" si="9"/>
        <v>0.6</v>
      </c>
      <c r="O87" s="48" t="s">
        <v>117</v>
      </c>
      <c r="P87" s="48" t="s">
        <v>131</v>
      </c>
      <c r="Q87" s="7">
        <f t="shared" si="10"/>
        <v>0.95333333333333337</v>
      </c>
      <c r="R87">
        <v>1</v>
      </c>
    </row>
    <row r="88" spans="1:18" hidden="1" x14ac:dyDescent="0.25">
      <c r="A88" s="12">
        <v>41640</v>
      </c>
      <c r="B88" s="7">
        <v>0.9</v>
      </c>
      <c r="C88" s="43" t="s">
        <v>87</v>
      </c>
      <c r="D88" s="43" t="s">
        <v>87</v>
      </c>
      <c r="E88" s="101">
        <f t="shared" si="7"/>
        <v>1</v>
      </c>
      <c r="F88" s="43" t="s">
        <v>158</v>
      </c>
      <c r="G88" s="43" t="s">
        <v>158</v>
      </c>
      <c r="H88" s="7" t="e">
        <f t="shared" si="3"/>
        <v>#DIV/0!</v>
      </c>
      <c r="I88" s="43" t="s">
        <v>85</v>
      </c>
      <c r="J88" s="43" t="s">
        <v>85</v>
      </c>
      <c r="K88" s="101">
        <f t="shared" si="8"/>
        <v>1</v>
      </c>
      <c r="L88" s="43" t="s">
        <v>86</v>
      </c>
      <c r="M88" s="43" t="s">
        <v>86</v>
      </c>
      <c r="N88" s="101">
        <f t="shared" si="9"/>
        <v>1</v>
      </c>
      <c r="O88" s="48" t="s">
        <v>127</v>
      </c>
      <c r="P88" s="48" t="s">
        <v>127</v>
      </c>
      <c r="Q88" s="7">
        <f t="shared" si="10"/>
        <v>1</v>
      </c>
      <c r="R88">
        <v>2</v>
      </c>
    </row>
    <row r="89" spans="1:18" hidden="1" x14ac:dyDescent="0.25">
      <c r="A89" s="12">
        <v>41671</v>
      </c>
      <c r="B89" s="7">
        <v>0.9</v>
      </c>
      <c r="C89" s="43" t="s">
        <v>437</v>
      </c>
      <c r="D89" s="43" t="s">
        <v>269</v>
      </c>
      <c r="E89" s="101">
        <f t="shared" si="7"/>
        <v>0.94907407407407407</v>
      </c>
      <c r="F89" s="43" t="s">
        <v>84</v>
      </c>
      <c r="G89" s="43" t="s">
        <v>86</v>
      </c>
      <c r="H89" s="7">
        <f t="shared" si="3"/>
        <v>0.66666666666666663</v>
      </c>
      <c r="I89" s="43" t="s">
        <v>157</v>
      </c>
      <c r="J89" s="43" t="s">
        <v>157</v>
      </c>
      <c r="K89" s="101">
        <f t="shared" si="8"/>
        <v>1</v>
      </c>
      <c r="L89" s="43" t="s">
        <v>75</v>
      </c>
      <c r="M89" s="43" t="s">
        <v>75</v>
      </c>
      <c r="N89" s="101">
        <f t="shared" si="9"/>
        <v>1</v>
      </c>
      <c r="O89" s="48" t="s">
        <v>438</v>
      </c>
      <c r="P89" s="48" t="s">
        <v>405</v>
      </c>
      <c r="Q89" s="7">
        <f t="shared" si="10"/>
        <v>0.95049504950495045</v>
      </c>
      <c r="R89">
        <v>1</v>
      </c>
    </row>
    <row r="90" spans="1:18" hidden="1" x14ac:dyDescent="0.25">
      <c r="A90" s="12">
        <v>41699</v>
      </c>
      <c r="B90" s="7">
        <v>0.9</v>
      </c>
      <c r="C90" s="43" t="s">
        <v>208</v>
      </c>
      <c r="D90" s="43" t="s">
        <v>418</v>
      </c>
      <c r="E90" s="101">
        <f t="shared" si="7"/>
        <v>0.94560669456066948</v>
      </c>
      <c r="F90" s="43" t="s">
        <v>158</v>
      </c>
      <c r="G90" s="43" t="s">
        <v>158</v>
      </c>
      <c r="H90" s="7" t="e">
        <f t="shared" si="3"/>
        <v>#DIV/0!</v>
      </c>
      <c r="I90" s="43" t="s">
        <v>86</v>
      </c>
      <c r="J90" s="43" t="s">
        <v>86</v>
      </c>
      <c r="K90" s="101">
        <f>J90/I90</f>
        <v>1</v>
      </c>
      <c r="L90" s="43" t="s">
        <v>223</v>
      </c>
      <c r="M90" s="43" t="s">
        <v>75</v>
      </c>
      <c r="N90" s="101">
        <f>M90/L90</f>
        <v>0.7142857142857143</v>
      </c>
      <c r="O90" s="48" t="s">
        <v>446</v>
      </c>
      <c r="P90" s="48" t="s">
        <v>447</v>
      </c>
      <c r="Q90" s="7">
        <f>P90/O90</f>
        <v>0.95217391304347831</v>
      </c>
      <c r="R90">
        <v>1</v>
      </c>
    </row>
    <row r="91" spans="1:18" hidden="1" x14ac:dyDescent="0.25">
      <c r="A91" s="12">
        <v>41730</v>
      </c>
      <c r="B91" s="7">
        <v>0.9</v>
      </c>
      <c r="C91" s="43" t="s">
        <v>119</v>
      </c>
      <c r="D91" s="43" t="s">
        <v>195</v>
      </c>
      <c r="E91" s="101">
        <f t="shared" si="7"/>
        <v>0.87790697674418605</v>
      </c>
      <c r="F91" s="43" t="s">
        <v>158</v>
      </c>
      <c r="G91" s="43" t="s">
        <v>158</v>
      </c>
      <c r="H91" s="7" t="e">
        <f t="shared" si="3"/>
        <v>#DIV/0!</v>
      </c>
      <c r="I91" s="43" t="s">
        <v>85</v>
      </c>
      <c r="J91" s="43" t="s">
        <v>85</v>
      </c>
      <c r="K91" s="101">
        <f>J91/I91</f>
        <v>1</v>
      </c>
      <c r="L91" s="43" t="s">
        <v>86</v>
      </c>
      <c r="M91" s="43" t="s">
        <v>85</v>
      </c>
      <c r="N91" s="101">
        <f>M91/L91</f>
        <v>0.5</v>
      </c>
      <c r="O91" s="48" t="s">
        <v>206</v>
      </c>
      <c r="P91" s="48" t="s">
        <v>452</v>
      </c>
      <c r="Q91" s="7">
        <f>P91/O91</f>
        <v>0.88165680473372776</v>
      </c>
      <c r="R91">
        <v>0</v>
      </c>
    </row>
    <row r="92" spans="1:18" hidden="1" x14ac:dyDescent="0.25">
      <c r="A92" s="12">
        <v>41760</v>
      </c>
      <c r="B92" s="7">
        <v>0.9</v>
      </c>
      <c r="C92" s="43" t="s">
        <v>458</v>
      </c>
      <c r="D92" s="43" t="s">
        <v>346</v>
      </c>
      <c r="E92" s="101">
        <f t="shared" si="7"/>
        <v>0.9221789883268483</v>
      </c>
      <c r="F92" s="43" t="s">
        <v>158</v>
      </c>
      <c r="G92" s="43" t="s">
        <v>158</v>
      </c>
      <c r="H92" s="7" t="e">
        <f t="shared" si="3"/>
        <v>#DIV/0!</v>
      </c>
      <c r="I92" s="43" t="s">
        <v>86</v>
      </c>
      <c r="J92" s="43" t="s">
        <v>86</v>
      </c>
      <c r="K92" s="101">
        <f>J92/I92</f>
        <v>1</v>
      </c>
      <c r="L92" s="43" t="s">
        <v>84</v>
      </c>
      <c r="M92" s="43" t="s">
        <v>86</v>
      </c>
      <c r="N92" s="101">
        <f>M92/L92</f>
        <v>0.66666666666666663</v>
      </c>
      <c r="O92" s="48" t="s">
        <v>459</v>
      </c>
      <c r="P92" s="48" t="s">
        <v>222</v>
      </c>
      <c r="Q92" s="7">
        <f>P92/O92</f>
        <v>0.92460317460317465</v>
      </c>
      <c r="R92">
        <v>0</v>
      </c>
    </row>
    <row r="93" spans="1:18" hidden="1" x14ac:dyDescent="0.25">
      <c r="A93" s="12">
        <v>41791</v>
      </c>
      <c r="B93" s="7">
        <v>0.9</v>
      </c>
      <c r="C93" s="43" t="s">
        <v>243</v>
      </c>
      <c r="D93" s="43" t="s">
        <v>79</v>
      </c>
      <c r="E93" s="101">
        <f t="shared" ref="E93:E119" si="11">D93/C93</f>
        <v>0.92207792207792205</v>
      </c>
      <c r="F93" s="43" t="s">
        <v>84</v>
      </c>
      <c r="G93" s="43" t="s">
        <v>84</v>
      </c>
      <c r="H93" s="7">
        <f t="shared" si="3"/>
        <v>1</v>
      </c>
      <c r="I93" s="43" t="s">
        <v>84</v>
      </c>
      <c r="J93" s="43" t="s">
        <v>86</v>
      </c>
      <c r="K93" s="101">
        <f t="shared" ref="K93:K100" si="12">J93/I93</f>
        <v>0.66666666666666663</v>
      </c>
      <c r="L93" s="43" t="s">
        <v>224</v>
      </c>
      <c r="M93" s="43" t="s">
        <v>224</v>
      </c>
      <c r="N93" s="101">
        <f t="shared" ref="N93:N99" si="13">M93/L93</f>
        <v>1</v>
      </c>
      <c r="O93" s="48" t="s">
        <v>437</v>
      </c>
      <c r="P93" s="48" t="s">
        <v>465</v>
      </c>
      <c r="Q93" s="7">
        <f t="shared" ref="Q93:Q100" si="14">P93/O93</f>
        <v>0.92129629629629628</v>
      </c>
      <c r="R93">
        <v>0</v>
      </c>
    </row>
    <row r="94" spans="1:18" hidden="1" x14ac:dyDescent="0.25">
      <c r="A94" s="12">
        <v>41821</v>
      </c>
      <c r="B94" s="7">
        <v>0.9</v>
      </c>
      <c r="C94" s="43" t="s">
        <v>435</v>
      </c>
      <c r="D94" s="43" t="s">
        <v>470</v>
      </c>
      <c r="E94" s="101">
        <f t="shared" si="11"/>
        <v>0.90769230769230769</v>
      </c>
      <c r="F94" s="43" t="s">
        <v>85</v>
      </c>
      <c r="G94" s="43" t="s">
        <v>158</v>
      </c>
      <c r="H94" s="7">
        <f t="shared" si="3"/>
        <v>0</v>
      </c>
      <c r="I94" s="43" t="s">
        <v>86</v>
      </c>
      <c r="J94" s="43" t="s">
        <v>86</v>
      </c>
      <c r="K94" s="101">
        <f t="shared" si="12"/>
        <v>1</v>
      </c>
      <c r="L94" s="43" t="s">
        <v>224</v>
      </c>
      <c r="M94" s="43" t="s">
        <v>223</v>
      </c>
      <c r="N94" s="101">
        <f t="shared" si="13"/>
        <v>0.77777777777777779</v>
      </c>
      <c r="O94" s="48" t="s">
        <v>192</v>
      </c>
      <c r="P94" s="48" t="s">
        <v>348</v>
      </c>
      <c r="Q94" s="7">
        <f t="shared" si="14"/>
        <v>0.91532258064516125</v>
      </c>
      <c r="R94">
        <v>0</v>
      </c>
    </row>
    <row r="95" spans="1:18" hidden="1" x14ac:dyDescent="0.25">
      <c r="A95" s="12">
        <v>41852</v>
      </c>
      <c r="B95" s="7">
        <v>0.9</v>
      </c>
      <c r="C95" s="43" t="s">
        <v>447</v>
      </c>
      <c r="D95" s="43" t="s">
        <v>269</v>
      </c>
      <c r="E95" s="101">
        <f t="shared" si="11"/>
        <v>0.9360730593607306</v>
      </c>
      <c r="F95" s="43" t="s">
        <v>158</v>
      </c>
      <c r="G95" s="43" t="s">
        <v>158</v>
      </c>
      <c r="H95" s="7" t="e">
        <f t="shared" si="3"/>
        <v>#DIV/0!</v>
      </c>
      <c r="I95" s="43" t="s">
        <v>85</v>
      </c>
      <c r="J95" s="43" t="s">
        <v>158</v>
      </c>
      <c r="K95" s="101">
        <f t="shared" si="12"/>
        <v>0</v>
      </c>
      <c r="L95" s="43" t="s">
        <v>84</v>
      </c>
      <c r="M95" s="43" t="s">
        <v>84</v>
      </c>
      <c r="N95" s="101">
        <f t="shared" si="13"/>
        <v>1</v>
      </c>
      <c r="O95" s="48" t="s">
        <v>441</v>
      </c>
      <c r="P95" s="48" t="s">
        <v>438</v>
      </c>
      <c r="Q95" s="7">
        <f t="shared" si="14"/>
        <v>0.93953488372093019</v>
      </c>
      <c r="R95">
        <v>0</v>
      </c>
    </row>
    <row r="96" spans="1:18" s="186" customFormat="1" hidden="1" x14ac:dyDescent="0.25">
      <c r="A96" s="12">
        <v>41883</v>
      </c>
      <c r="B96" s="7">
        <v>0.9</v>
      </c>
      <c r="C96" s="43" t="s">
        <v>63</v>
      </c>
      <c r="D96" s="43" t="s">
        <v>269</v>
      </c>
      <c r="E96" s="101">
        <f t="shared" si="11"/>
        <v>0.98086124401913877</v>
      </c>
      <c r="F96" s="43" t="s">
        <v>158</v>
      </c>
      <c r="G96" s="43" t="s">
        <v>158</v>
      </c>
      <c r="H96" s="7" t="e">
        <f t="shared" si="3"/>
        <v>#DIV/0!</v>
      </c>
      <c r="I96" s="43" t="s">
        <v>86</v>
      </c>
      <c r="J96" s="43" t="s">
        <v>85</v>
      </c>
      <c r="K96" s="101">
        <f t="shared" si="12"/>
        <v>0.5</v>
      </c>
      <c r="L96" s="43" t="s">
        <v>86</v>
      </c>
      <c r="M96" s="43" t="s">
        <v>85</v>
      </c>
      <c r="N96" s="101">
        <f t="shared" si="13"/>
        <v>0.5</v>
      </c>
      <c r="O96" s="48" t="s">
        <v>269</v>
      </c>
      <c r="P96" s="48" t="s">
        <v>96</v>
      </c>
      <c r="Q96" s="7">
        <f t="shared" si="14"/>
        <v>0.99024390243902438</v>
      </c>
      <c r="R96" s="186">
        <v>1</v>
      </c>
    </row>
    <row r="97" spans="1:18" s="186" customFormat="1" hidden="1" x14ac:dyDescent="0.25">
      <c r="A97" s="12">
        <v>41913</v>
      </c>
      <c r="B97" s="7">
        <v>0.9</v>
      </c>
      <c r="C97" s="43" t="s">
        <v>345</v>
      </c>
      <c r="D97" s="43" t="s">
        <v>208</v>
      </c>
      <c r="E97" s="101">
        <f t="shared" si="11"/>
        <v>0.95599999999999996</v>
      </c>
      <c r="F97" s="43" t="s">
        <v>158</v>
      </c>
      <c r="G97" s="43" t="s">
        <v>158</v>
      </c>
      <c r="H97" s="7" t="e">
        <f t="shared" si="3"/>
        <v>#DIV/0!</v>
      </c>
      <c r="I97" s="43" t="s">
        <v>85</v>
      </c>
      <c r="J97" s="43" t="s">
        <v>85</v>
      </c>
      <c r="K97" s="101">
        <f t="shared" si="12"/>
        <v>1</v>
      </c>
      <c r="L97" s="43" t="s">
        <v>157</v>
      </c>
      <c r="M97" s="43" t="s">
        <v>157</v>
      </c>
      <c r="N97" s="101">
        <f t="shared" si="13"/>
        <v>1</v>
      </c>
      <c r="O97" s="48" t="s">
        <v>494</v>
      </c>
      <c r="P97" s="48" t="s">
        <v>390</v>
      </c>
      <c r="Q97" s="7">
        <f t="shared" si="14"/>
        <v>0.95473251028806583</v>
      </c>
      <c r="R97" s="186">
        <v>0</v>
      </c>
    </row>
    <row r="98" spans="1:18" s="186" customFormat="1" hidden="1" x14ac:dyDescent="0.25">
      <c r="A98" s="12">
        <v>41944</v>
      </c>
      <c r="B98" s="7">
        <v>0.9</v>
      </c>
      <c r="C98" s="43" t="s">
        <v>298</v>
      </c>
      <c r="D98" s="43" t="s">
        <v>405</v>
      </c>
      <c r="E98" s="101">
        <f t="shared" si="11"/>
        <v>0.97959183673469385</v>
      </c>
      <c r="F98" s="43" t="s">
        <v>85</v>
      </c>
      <c r="G98" s="43" t="s">
        <v>85</v>
      </c>
      <c r="H98" s="7">
        <f t="shared" ref="H98:H119" si="15">G98/F98</f>
        <v>1</v>
      </c>
      <c r="I98" s="43" t="s">
        <v>84</v>
      </c>
      <c r="J98" s="43" t="s">
        <v>86</v>
      </c>
      <c r="K98" s="101">
        <f t="shared" si="12"/>
        <v>0.66666666666666663</v>
      </c>
      <c r="L98" s="43" t="s">
        <v>85</v>
      </c>
      <c r="M98" s="43" t="s">
        <v>85</v>
      </c>
      <c r="N98" s="101">
        <f t="shared" si="13"/>
        <v>1</v>
      </c>
      <c r="O98" s="48" t="s">
        <v>299</v>
      </c>
      <c r="P98" s="48" t="s">
        <v>305</v>
      </c>
      <c r="Q98" s="7">
        <f t="shared" si="14"/>
        <v>0.98429319371727753</v>
      </c>
      <c r="R98" s="186">
        <v>0</v>
      </c>
    </row>
    <row r="99" spans="1:18" hidden="1" x14ac:dyDescent="0.25">
      <c r="A99" s="12">
        <v>41974</v>
      </c>
      <c r="B99" s="7">
        <v>0.9</v>
      </c>
      <c r="C99" s="52">
        <v>179</v>
      </c>
      <c r="D99" s="52">
        <v>170</v>
      </c>
      <c r="E99" s="101">
        <f t="shared" si="11"/>
        <v>0.94972067039106145</v>
      </c>
      <c r="F99" s="52">
        <v>0</v>
      </c>
      <c r="G99" s="52">
        <v>0</v>
      </c>
      <c r="H99" s="6" t="e">
        <f t="shared" si="15"/>
        <v>#DIV/0!</v>
      </c>
      <c r="I99" s="52">
        <v>0</v>
      </c>
      <c r="J99" s="52">
        <v>0</v>
      </c>
      <c r="K99" s="6" t="e">
        <f t="shared" si="12"/>
        <v>#DIV/0!</v>
      </c>
      <c r="L99" s="52">
        <v>13</v>
      </c>
      <c r="M99" s="52">
        <v>13</v>
      </c>
      <c r="N99" s="101">
        <f t="shared" si="13"/>
        <v>1</v>
      </c>
      <c r="O99" s="53">
        <v>166</v>
      </c>
      <c r="P99" s="53">
        <v>157</v>
      </c>
      <c r="Q99" s="213">
        <f t="shared" si="14"/>
        <v>0.94578313253012047</v>
      </c>
      <c r="R99">
        <v>0</v>
      </c>
    </row>
    <row r="100" spans="1:18" s="186" customFormat="1" hidden="1" x14ac:dyDescent="0.25">
      <c r="A100" s="12">
        <v>42005</v>
      </c>
      <c r="B100" s="7">
        <v>0.9</v>
      </c>
      <c r="C100" s="52">
        <v>179</v>
      </c>
      <c r="D100" s="52">
        <v>173</v>
      </c>
      <c r="E100" s="101">
        <f t="shared" si="11"/>
        <v>0.96648044692737434</v>
      </c>
      <c r="F100" s="52">
        <v>1</v>
      </c>
      <c r="G100" s="52">
        <v>1</v>
      </c>
      <c r="H100" s="101">
        <f t="shared" si="15"/>
        <v>1</v>
      </c>
      <c r="I100" s="52">
        <v>1</v>
      </c>
      <c r="J100" s="52">
        <v>1</v>
      </c>
      <c r="K100" s="101">
        <f t="shared" si="12"/>
        <v>1</v>
      </c>
      <c r="L100" s="52">
        <v>12</v>
      </c>
      <c r="M100" s="52">
        <v>11</v>
      </c>
      <c r="N100" s="101">
        <f t="shared" ref="N100:N119" si="16">M100/L100</f>
        <v>0.91666666666666663</v>
      </c>
      <c r="O100" s="53">
        <v>165</v>
      </c>
      <c r="P100" s="53">
        <v>160</v>
      </c>
      <c r="Q100" s="213">
        <f t="shared" si="14"/>
        <v>0.96969696969696972</v>
      </c>
      <c r="R100" s="186">
        <v>0</v>
      </c>
    </row>
    <row r="101" spans="1:18" s="186" customFormat="1" hidden="1" x14ac:dyDescent="0.25">
      <c r="A101" s="12">
        <v>42036</v>
      </c>
      <c r="B101" s="7">
        <v>0.9</v>
      </c>
      <c r="C101" s="52">
        <v>238</v>
      </c>
      <c r="D101" s="52">
        <v>228</v>
      </c>
      <c r="E101" s="101">
        <f t="shared" si="11"/>
        <v>0.95798319327731096</v>
      </c>
      <c r="F101" s="52">
        <v>2</v>
      </c>
      <c r="G101" s="52">
        <v>2</v>
      </c>
      <c r="H101" s="7">
        <f t="shared" si="15"/>
        <v>1</v>
      </c>
      <c r="I101" s="52">
        <v>0</v>
      </c>
      <c r="J101" s="52">
        <v>0</v>
      </c>
      <c r="K101" s="101" t="e">
        <f t="shared" ref="K101:K119" si="17">J101/I101</f>
        <v>#DIV/0!</v>
      </c>
      <c r="L101" s="43" t="s">
        <v>223</v>
      </c>
      <c r="M101" s="43" t="s">
        <v>223</v>
      </c>
      <c r="N101" s="101">
        <f t="shared" si="16"/>
        <v>1</v>
      </c>
      <c r="O101" s="48" t="s">
        <v>417</v>
      </c>
      <c r="P101" s="48" t="s">
        <v>447</v>
      </c>
      <c r="Q101" s="7">
        <f t="shared" ref="Q101:Q119" si="18">P101/O101</f>
        <v>0.95633187772925765</v>
      </c>
      <c r="R101" s="186">
        <v>0</v>
      </c>
    </row>
    <row r="102" spans="1:18" s="186" customFormat="1" hidden="1" x14ac:dyDescent="0.25">
      <c r="A102" s="12">
        <v>42064</v>
      </c>
      <c r="B102" s="7">
        <v>0.9</v>
      </c>
      <c r="C102" s="52">
        <v>251</v>
      </c>
      <c r="D102" s="52">
        <v>235</v>
      </c>
      <c r="E102" s="101">
        <f t="shared" si="11"/>
        <v>0.93625498007968122</v>
      </c>
      <c r="F102" s="52">
        <v>3</v>
      </c>
      <c r="G102" s="52">
        <v>0</v>
      </c>
      <c r="H102" s="7">
        <f t="shared" si="15"/>
        <v>0</v>
      </c>
      <c r="I102" s="52">
        <v>0</v>
      </c>
      <c r="J102" s="52">
        <v>0</v>
      </c>
      <c r="K102" s="101" t="e">
        <f t="shared" si="17"/>
        <v>#DIV/0!</v>
      </c>
      <c r="L102" s="43" t="s">
        <v>75</v>
      </c>
      <c r="M102" s="43" t="s">
        <v>84</v>
      </c>
      <c r="N102" s="101">
        <f t="shared" si="16"/>
        <v>0.6</v>
      </c>
      <c r="O102" s="48" t="s">
        <v>494</v>
      </c>
      <c r="P102" s="48" t="s">
        <v>390</v>
      </c>
      <c r="Q102" s="7">
        <f t="shared" si="18"/>
        <v>0.95473251028806583</v>
      </c>
      <c r="R102" s="186">
        <v>0</v>
      </c>
    </row>
    <row r="103" spans="1:18" s="186" customFormat="1" hidden="1" x14ac:dyDescent="0.25">
      <c r="A103" s="12">
        <v>42095</v>
      </c>
      <c r="B103" s="7">
        <v>0.9</v>
      </c>
      <c r="C103" s="52">
        <v>216</v>
      </c>
      <c r="D103" s="52">
        <v>198</v>
      </c>
      <c r="E103" s="101">
        <f t="shared" si="11"/>
        <v>0.91666666666666663</v>
      </c>
      <c r="F103" s="52">
        <v>2</v>
      </c>
      <c r="G103" s="52">
        <v>2</v>
      </c>
      <c r="H103" s="7">
        <f t="shared" si="15"/>
        <v>1</v>
      </c>
      <c r="I103" s="52">
        <v>4</v>
      </c>
      <c r="J103" s="52">
        <v>3</v>
      </c>
      <c r="K103" s="101">
        <f t="shared" si="17"/>
        <v>0.75</v>
      </c>
      <c r="L103" s="43" t="s">
        <v>160</v>
      </c>
      <c r="M103" s="43" t="s">
        <v>248</v>
      </c>
      <c r="N103" s="101">
        <f t="shared" si="16"/>
        <v>0.8666666666666667</v>
      </c>
      <c r="O103" s="48" t="s">
        <v>376</v>
      </c>
      <c r="P103" s="48" t="s">
        <v>512</v>
      </c>
      <c r="Q103" s="7">
        <f t="shared" si="18"/>
        <v>0.92307692307692313</v>
      </c>
      <c r="R103" s="186">
        <v>0</v>
      </c>
    </row>
    <row r="104" spans="1:18" s="186" customFormat="1" x14ac:dyDescent="0.25">
      <c r="A104" s="12">
        <v>42125</v>
      </c>
      <c r="B104" s="7">
        <v>0.9</v>
      </c>
      <c r="C104" s="52">
        <v>201</v>
      </c>
      <c r="D104" s="52">
        <v>177</v>
      </c>
      <c r="E104" s="101">
        <f t="shared" si="11"/>
        <v>0.88059701492537312</v>
      </c>
      <c r="F104" s="52">
        <v>0</v>
      </c>
      <c r="G104" s="52">
        <v>0</v>
      </c>
      <c r="H104" s="7" t="e">
        <f t="shared" si="15"/>
        <v>#DIV/0!</v>
      </c>
      <c r="I104" s="52">
        <v>7</v>
      </c>
      <c r="J104" s="52">
        <v>6</v>
      </c>
      <c r="K104" s="101">
        <f t="shared" si="17"/>
        <v>0.8571428571428571</v>
      </c>
      <c r="L104" s="43" t="s">
        <v>59</v>
      </c>
      <c r="M104" s="43" t="s">
        <v>156</v>
      </c>
      <c r="N104" s="101">
        <f t="shared" si="16"/>
        <v>0.72727272727272729</v>
      </c>
      <c r="O104" s="48" t="s">
        <v>515</v>
      </c>
      <c r="P104" s="48" t="s">
        <v>93</v>
      </c>
      <c r="Q104" s="7">
        <f t="shared" si="18"/>
        <v>0.89071038251366119</v>
      </c>
      <c r="R104" s="186">
        <v>33</v>
      </c>
    </row>
    <row r="105" spans="1:18" s="186" customFormat="1" x14ac:dyDescent="0.25">
      <c r="A105" s="12">
        <v>42156</v>
      </c>
      <c r="B105" s="7">
        <v>0.9</v>
      </c>
      <c r="C105" s="52">
        <v>221</v>
      </c>
      <c r="D105" s="52">
        <v>218</v>
      </c>
      <c r="E105" s="101">
        <f t="shared" si="11"/>
        <v>0.98642533936651589</v>
      </c>
      <c r="F105" s="52">
        <v>1</v>
      </c>
      <c r="G105" s="52">
        <v>1</v>
      </c>
      <c r="H105" s="7">
        <f t="shared" si="15"/>
        <v>1</v>
      </c>
      <c r="I105" s="52">
        <v>5</v>
      </c>
      <c r="J105" s="52">
        <v>5</v>
      </c>
      <c r="K105" s="101">
        <f t="shared" si="17"/>
        <v>1</v>
      </c>
      <c r="L105" s="43" t="s">
        <v>157</v>
      </c>
      <c r="M105" s="43" t="s">
        <v>157</v>
      </c>
      <c r="N105" s="101">
        <f t="shared" si="16"/>
        <v>1</v>
      </c>
      <c r="O105" s="48" t="s">
        <v>98</v>
      </c>
      <c r="P105" s="48" t="s">
        <v>98</v>
      </c>
      <c r="Q105" s="7">
        <f t="shared" si="18"/>
        <v>1</v>
      </c>
      <c r="R105" s="186">
        <v>0</v>
      </c>
    </row>
    <row r="106" spans="1:18" s="186" customFormat="1" x14ac:dyDescent="0.25">
      <c r="A106" s="12">
        <v>42200</v>
      </c>
      <c r="B106" s="7">
        <v>0.9</v>
      </c>
      <c r="C106" s="52">
        <v>215</v>
      </c>
      <c r="D106" s="52">
        <v>207</v>
      </c>
      <c r="E106" s="101">
        <f t="shared" si="11"/>
        <v>0.96279069767441861</v>
      </c>
      <c r="F106" s="52">
        <v>0</v>
      </c>
      <c r="G106" s="52">
        <v>0</v>
      </c>
      <c r="H106" s="7" t="e">
        <f t="shared" si="15"/>
        <v>#DIV/0!</v>
      </c>
      <c r="I106" s="52">
        <v>4</v>
      </c>
      <c r="J106" s="52">
        <v>1</v>
      </c>
      <c r="K106" s="101">
        <f t="shared" si="17"/>
        <v>0.25</v>
      </c>
      <c r="L106" s="43" t="s">
        <v>224</v>
      </c>
      <c r="M106" s="43" t="s">
        <v>156</v>
      </c>
      <c r="N106" s="101">
        <f t="shared" si="16"/>
        <v>0.88888888888888884</v>
      </c>
      <c r="O106" s="48" t="s">
        <v>438</v>
      </c>
      <c r="P106" s="48" t="s">
        <v>225</v>
      </c>
      <c r="Q106" s="7">
        <f t="shared" si="18"/>
        <v>0.98019801980198018</v>
      </c>
      <c r="R106" s="186">
        <v>0</v>
      </c>
    </row>
    <row r="107" spans="1:18" s="186" customFormat="1" x14ac:dyDescent="0.25">
      <c r="A107" s="12">
        <v>42231</v>
      </c>
      <c r="B107" s="7">
        <v>0.9</v>
      </c>
      <c r="C107" s="52">
        <v>255</v>
      </c>
      <c r="D107" s="52">
        <v>244</v>
      </c>
      <c r="E107" s="101">
        <f t="shared" si="11"/>
        <v>0.95686274509803926</v>
      </c>
      <c r="F107" s="52">
        <v>0</v>
      </c>
      <c r="G107" s="52">
        <v>0</v>
      </c>
      <c r="H107" s="7" t="e">
        <f t="shared" si="15"/>
        <v>#DIV/0!</v>
      </c>
      <c r="I107" s="52">
        <v>5</v>
      </c>
      <c r="J107" s="52">
        <v>3</v>
      </c>
      <c r="K107" s="101">
        <f t="shared" si="17"/>
        <v>0.6</v>
      </c>
      <c r="L107" s="43" t="s">
        <v>224</v>
      </c>
      <c r="M107" s="43" t="s">
        <v>223</v>
      </c>
      <c r="N107" s="101">
        <f t="shared" si="16"/>
        <v>0.77777777777777779</v>
      </c>
      <c r="O107" s="48" t="s">
        <v>66</v>
      </c>
      <c r="P107" s="48" t="s">
        <v>516</v>
      </c>
      <c r="Q107" s="7">
        <f t="shared" si="18"/>
        <v>1.3443983402489628</v>
      </c>
      <c r="R107" s="186">
        <v>0</v>
      </c>
    </row>
    <row r="108" spans="1:18" s="186" customFormat="1" x14ac:dyDescent="0.25">
      <c r="A108" s="12">
        <v>42262</v>
      </c>
      <c r="B108" s="7">
        <v>0.9</v>
      </c>
      <c r="C108" s="52">
        <v>215</v>
      </c>
      <c r="D108" s="52">
        <v>207</v>
      </c>
      <c r="E108" s="101">
        <f t="shared" si="11"/>
        <v>0.96279069767441861</v>
      </c>
      <c r="F108" s="52">
        <v>1</v>
      </c>
      <c r="G108" s="52">
        <v>1</v>
      </c>
      <c r="H108" s="7">
        <f t="shared" si="15"/>
        <v>1</v>
      </c>
      <c r="I108" s="52">
        <v>8</v>
      </c>
      <c r="J108" s="52">
        <v>7</v>
      </c>
      <c r="K108" s="101">
        <f t="shared" si="17"/>
        <v>0.875</v>
      </c>
      <c r="L108" s="43" t="s">
        <v>291</v>
      </c>
      <c r="M108" s="43" t="s">
        <v>270</v>
      </c>
      <c r="N108" s="101">
        <f t="shared" si="16"/>
        <v>0.95</v>
      </c>
      <c r="O108" s="48" t="s">
        <v>273</v>
      </c>
      <c r="P108" s="48" t="s">
        <v>512</v>
      </c>
      <c r="Q108" s="7">
        <f t="shared" si="18"/>
        <v>0.967741935483871</v>
      </c>
      <c r="R108" s="186">
        <v>0</v>
      </c>
    </row>
    <row r="109" spans="1:18" s="186" customFormat="1" x14ac:dyDescent="0.25">
      <c r="A109" s="12">
        <v>42292</v>
      </c>
      <c r="B109" s="7">
        <v>0.9</v>
      </c>
      <c r="C109" s="52">
        <v>252</v>
      </c>
      <c r="D109" s="52">
        <v>247</v>
      </c>
      <c r="E109" s="101">
        <f t="shared" si="11"/>
        <v>0.98015873015873012</v>
      </c>
      <c r="F109" s="52">
        <v>0</v>
      </c>
      <c r="G109" s="52">
        <v>0</v>
      </c>
      <c r="H109" s="7" t="e">
        <f t="shared" si="15"/>
        <v>#DIV/0!</v>
      </c>
      <c r="I109" s="52">
        <v>4</v>
      </c>
      <c r="J109" s="52">
        <v>4</v>
      </c>
      <c r="K109" s="101">
        <f t="shared" si="17"/>
        <v>1</v>
      </c>
      <c r="L109" s="43" t="s">
        <v>59</v>
      </c>
      <c r="M109" s="43" t="s">
        <v>59</v>
      </c>
      <c r="N109" s="101">
        <f t="shared" si="16"/>
        <v>1</v>
      </c>
      <c r="O109" s="48" t="s">
        <v>346</v>
      </c>
      <c r="P109" s="48" t="s">
        <v>390</v>
      </c>
      <c r="Q109" s="7">
        <f t="shared" si="18"/>
        <v>0.97890295358649793</v>
      </c>
      <c r="R109" s="186">
        <v>0</v>
      </c>
    </row>
    <row r="110" spans="1:18" s="186" customFormat="1" x14ac:dyDescent="0.25">
      <c r="A110" s="12">
        <v>42309</v>
      </c>
      <c r="B110" s="7">
        <v>0.9</v>
      </c>
      <c r="C110" s="52">
        <v>152</v>
      </c>
      <c r="D110" s="52">
        <v>136</v>
      </c>
      <c r="E110" s="101">
        <f t="shared" si="11"/>
        <v>0.89473684210526316</v>
      </c>
      <c r="F110" s="52">
        <v>0</v>
      </c>
      <c r="G110" s="52">
        <v>0</v>
      </c>
      <c r="H110" s="7" t="e">
        <f t="shared" si="15"/>
        <v>#DIV/0!</v>
      </c>
      <c r="I110" s="52">
        <v>2</v>
      </c>
      <c r="J110" s="52">
        <v>2</v>
      </c>
      <c r="K110" s="101">
        <f t="shared" si="17"/>
        <v>1</v>
      </c>
      <c r="L110" s="43" t="s">
        <v>157</v>
      </c>
      <c r="M110" s="43" t="s">
        <v>157</v>
      </c>
      <c r="N110" s="101">
        <f t="shared" si="16"/>
        <v>1</v>
      </c>
      <c r="O110" s="48" t="s">
        <v>284</v>
      </c>
      <c r="P110" s="48" t="s">
        <v>81</v>
      </c>
      <c r="Q110" s="7">
        <f t="shared" si="18"/>
        <v>0.88888888888888884</v>
      </c>
      <c r="R110" s="186">
        <v>0</v>
      </c>
    </row>
    <row r="111" spans="1:18" s="186" customFormat="1" x14ac:dyDescent="0.25">
      <c r="A111" s="12">
        <v>42353</v>
      </c>
      <c r="B111" s="7">
        <v>0.9</v>
      </c>
      <c r="C111" s="52">
        <v>143</v>
      </c>
      <c r="D111" s="52">
        <v>133</v>
      </c>
      <c r="E111" s="101">
        <f t="shared" si="11"/>
        <v>0.93006993006993011</v>
      </c>
      <c r="F111" s="52">
        <v>1</v>
      </c>
      <c r="G111" s="52">
        <v>1</v>
      </c>
      <c r="H111" s="7">
        <f t="shared" si="15"/>
        <v>1</v>
      </c>
      <c r="I111" s="52">
        <v>1</v>
      </c>
      <c r="J111" s="52">
        <v>0</v>
      </c>
      <c r="K111" s="101">
        <f t="shared" si="17"/>
        <v>0</v>
      </c>
      <c r="L111" s="43" t="s">
        <v>157</v>
      </c>
      <c r="M111" s="43" t="s">
        <v>157</v>
      </c>
      <c r="N111" s="101">
        <f t="shared" si="16"/>
        <v>1</v>
      </c>
      <c r="O111" s="48" t="s">
        <v>88</v>
      </c>
      <c r="P111" s="48" t="s">
        <v>522</v>
      </c>
      <c r="Q111" s="7">
        <f t="shared" si="18"/>
        <v>0.93333333333333335</v>
      </c>
      <c r="R111" s="186">
        <v>0</v>
      </c>
    </row>
    <row r="112" spans="1:18" s="186" customFormat="1" x14ac:dyDescent="0.25">
      <c r="A112" s="12">
        <v>42370</v>
      </c>
      <c r="B112" s="7">
        <v>0.9</v>
      </c>
      <c r="C112" s="52">
        <v>198</v>
      </c>
      <c r="D112" s="52">
        <v>185</v>
      </c>
      <c r="E112" s="101">
        <f t="shared" si="11"/>
        <v>0.93434343434343436</v>
      </c>
      <c r="F112" s="52">
        <v>0</v>
      </c>
      <c r="G112" s="52">
        <v>0</v>
      </c>
      <c r="H112" s="7" t="e">
        <f t="shared" si="15"/>
        <v>#DIV/0!</v>
      </c>
      <c r="I112" s="52">
        <v>0</v>
      </c>
      <c r="J112" s="52">
        <v>0</v>
      </c>
      <c r="K112" s="101" t="e">
        <f t="shared" si="17"/>
        <v>#DIV/0!</v>
      </c>
      <c r="L112" s="43" t="s">
        <v>75</v>
      </c>
      <c r="M112" s="43" t="s">
        <v>75</v>
      </c>
      <c r="N112" s="101">
        <f t="shared" si="16"/>
        <v>1</v>
      </c>
      <c r="O112" s="48" t="s">
        <v>524</v>
      </c>
      <c r="P112" s="48" t="s">
        <v>512</v>
      </c>
      <c r="Q112" s="7">
        <f t="shared" si="18"/>
        <v>0.93264248704663211</v>
      </c>
      <c r="R112" s="186">
        <v>0</v>
      </c>
    </row>
    <row r="113" spans="1:18" s="186" customFormat="1" x14ac:dyDescent="0.25">
      <c r="A113" s="12">
        <v>42401</v>
      </c>
      <c r="B113" s="7">
        <v>0.9</v>
      </c>
      <c r="C113" s="52">
        <v>174</v>
      </c>
      <c r="D113" s="52">
        <v>165</v>
      </c>
      <c r="E113" s="101">
        <f t="shared" si="11"/>
        <v>0.94827586206896552</v>
      </c>
      <c r="F113" s="52">
        <v>0</v>
      </c>
      <c r="G113" s="52">
        <v>0</v>
      </c>
      <c r="H113" s="7" t="e">
        <f t="shared" si="15"/>
        <v>#DIV/0!</v>
      </c>
      <c r="I113" s="52">
        <v>5</v>
      </c>
      <c r="J113" s="52">
        <v>4</v>
      </c>
      <c r="K113" s="101">
        <f t="shared" si="17"/>
        <v>0.8</v>
      </c>
      <c r="L113" s="43" t="s">
        <v>84</v>
      </c>
      <c r="M113" s="43" t="s">
        <v>84</v>
      </c>
      <c r="N113" s="101">
        <f t="shared" si="16"/>
        <v>1</v>
      </c>
      <c r="O113" s="48" t="s">
        <v>244</v>
      </c>
      <c r="P113" s="48" t="s">
        <v>401</v>
      </c>
      <c r="Q113" s="7">
        <f t="shared" si="18"/>
        <v>0.95180722891566261</v>
      </c>
      <c r="R113" s="186">
        <v>1</v>
      </c>
    </row>
    <row r="114" spans="1:18" s="186" customFormat="1" x14ac:dyDescent="0.25">
      <c r="A114" s="12">
        <v>42430</v>
      </c>
      <c r="B114" s="7">
        <v>0.9</v>
      </c>
      <c r="C114" s="52">
        <v>239</v>
      </c>
      <c r="D114" s="52">
        <v>219</v>
      </c>
      <c r="E114" s="101">
        <f t="shared" si="11"/>
        <v>0.91631799163179917</v>
      </c>
      <c r="F114" s="52">
        <v>0</v>
      </c>
      <c r="G114" s="52">
        <v>0</v>
      </c>
      <c r="H114" s="7" t="e">
        <f t="shared" si="15"/>
        <v>#DIV/0!</v>
      </c>
      <c r="I114" s="52">
        <v>4</v>
      </c>
      <c r="J114" s="52">
        <v>3</v>
      </c>
      <c r="K114" s="101">
        <f t="shared" si="17"/>
        <v>0.75</v>
      </c>
      <c r="L114" s="43" t="s">
        <v>76</v>
      </c>
      <c r="M114" s="43" t="s">
        <v>76</v>
      </c>
      <c r="N114" s="101">
        <f t="shared" si="16"/>
        <v>1</v>
      </c>
      <c r="O114" s="48" t="s">
        <v>243</v>
      </c>
      <c r="P114" s="48" t="s">
        <v>304</v>
      </c>
      <c r="Q114" s="7">
        <f t="shared" si="18"/>
        <v>0.91774891774891776</v>
      </c>
      <c r="R114" s="186">
        <v>0</v>
      </c>
    </row>
    <row r="115" spans="1:18" s="186" customFormat="1" x14ac:dyDescent="0.25">
      <c r="A115" s="12">
        <v>42461</v>
      </c>
      <c r="B115" s="7">
        <v>0.9</v>
      </c>
      <c r="C115" s="52">
        <v>232</v>
      </c>
      <c r="D115" s="52">
        <v>209</v>
      </c>
      <c r="E115" s="101">
        <f t="shared" si="11"/>
        <v>0.90086206896551724</v>
      </c>
      <c r="F115" s="52">
        <v>1</v>
      </c>
      <c r="G115" s="52">
        <v>1</v>
      </c>
      <c r="H115" s="7">
        <f t="shared" si="15"/>
        <v>1</v>
      </c>
      <c r="I115" s="52">
        <v>2</v>
      </c>
      <c r="J115" s="52">
        <v>0</v>
      </c>
      <c r="K115" s="101">
        <f t="shared" si="17"/>
        <v>0</v>
      </c>
      <c r="L115" s="43" t="s">
        <v>59</v>
      </c>
      <c r="M115" s="43" t="s">
        <v>59</v>
      </c>
      <c r="N115" s="101">
        <f t="shared" si="16"/>
        <v>1</v>
      </c>
      <c r="O115" s="48" t="s">
        <v>343</v>
      </c>
      <c r="P115" s="48" t="s">
        <v>525</v>
      </c>
      <c r="Q115" s="7">
        <f t="shared" si="18"/>
        <v>0.90366972477064222</v>
      </c>
      <c r="R115" s="186">
        <v>0</v>
      </c>
    </row>
    <row r="116" spans="1:18" s="186" customFormat="1" x14ac:dyDescent="0.25">
      <c r="A116" s="12">
        <v>42491</v>
      </c>
      <c r="B116" s="7">
        <v>0.9</v>
      </c>
      <c r="C116" s="52">
        <v>229</v>
      </c>
      <c r="D116" s="52">
        <v>214</v>
      </c>
      <c r="E116" s="101">
        <f t="shared" si="11"/>
        <v>0.93449781659388642</v>
      </c>
      <c r="F116" s="52">
        <v>0</v>
      </c>
      <c r="G116" s="52">
        <v>0</v>
      </c>
      <c r="H116" s="7" t="e">
        <f t="shared" si="15"/>
        <v>#DIV/0!</v>
      </c>
      <c r="I116" s="52">
        <v>4</v>
      </c>
      <c r="J116" s="52">
        <v>4</v>
      </c>
      <c r="K116" s="101">
        <f t="shared" si="17"/>
        <v>1</v>
      </c>
      <c r="L116" s="43" t="s">
        <v>223</v>
      </c>
      <c r="M116" s="43" t="s">
        <v>157</v>
      </c>
      <c r="N116" s="101">
        <f t="shared" si="16"/>
        <v>0.8571428571428571</v>
      </c>
      <c r="O116" s="48" t="s">
        <v>343</v>
      </c>
      <c r="P116" s="48" t="s">
        <v>530</v>
      </c>
      <c r="Q116" s="7">
        <f t="shared" si="18"/>
        <v>0.93577981651376152</v>
      </c>
      <c r="R116" s="186">
        <v>0</v>
      </c>
    </row>
    <row r="117" spans="1:18" s="186" customFormat="1" x14ac:dyDescent="0.25">
      <c r="A117" s="12">
        <v>42522</v>
      </c>
      <c r="B117" s="7">
        <v>0.9</v>
      </c>
      <c r="C117" s="52">
        <v>168</v>
      </c>
      <c r="D117" s="52">
        <v>159</v>
      </c>
      <c r="E117" s="101">
        <f t="shared" si="11"/>
        <v>0.9464285714285714</v>
      </c>
      <c r="F117" s="52">
        <v>0</v>
      </c>
      <c r="G117" s="52">
        <v>0</v>
      </c>
      <c r="H117" s="7" t="e">
        <f t="shared" si="15"/>
        <v>#DIV/0!</v>
      </c>
      <c r="I117" s="52">
        <v>8</v>
      </c>
      <c r="J117" s="52">
        <v>5</v>
      </c>
      <c r="K117" s="101">
        <f t="shared" si="17"/>
        <v>0.625</v>
      </c>
      <c r="L117" s="43" t="s">
        <v>73</v>
      </c>
      <c r="M117" s="43" t="s">
        <v>73</v>
      </c>
      <c r="N117" s="101">
        <f t="shared" si="16"/>
        <v>1</v>
      </c>
      <c r="O117" s="48" t="s">
        <v>117</v>
      </c>
      <c r="P117" s="48" t="s">
        <v>284</v>
      </c>
      <c r="Q117" s="7">
        <f t="shared" si="18"/>
        <v>0.96</v>
      </c>
      <c r="R117" s="186">
        <v>0</v>
      </c>
    </row>
    <row r="118" spans="1:18" s="186" customFormat="1" x14ac:dyDescent="0.25">
      <c r="A118" s="12">
        <v>42552</v>
      </c>
      <c r="B118" s="7">
        <v>0.9</v>
      </c>
      <c r="C118" s="52">
        <v>199</v>
      </c>
      <c r="D118" s="52">
        <v>191</v>
      </c>
      <c r="E118" s="101">
        <f t="shared" si="11"/>
        <v>0.95979899497487442</v>
      </c>
      <c r="F118" s="52">
        <v>0</v>
      </c>
      <c r="G118" s="52">
        <v>0</v>
      </c>
      <c r="H118" s="7" t="e">
        <f t="shared" si="15"/>
        <v>#DIV/0!</v>
      </c>
      <c r="I118" s="52">
        <v>3</v>
      </c>
      <c r="J118" s="52">
        <v>3</v>
      </c>
      <c r="K118" s="101">
        <f t="shared" si="17"/>
        <v>1</v>
      </c>
      <c r="L118" s="43" t="s">
        <v>158</v>
      </c>
      <c r="M118" s="43" t="s">
        <v>158</v>
      </c>
      <c r="N118" s="101" t="e">
        <f t="shared" si="16"/>
        <v>#DIV/0!</v>
      </c>
      <c r="O118" s="48" t="s">
        <v>298</v>
      </c>
      <c r="P118" s="48" t="s">
        <v>305</v>
      </c>
      <c r="Q118" s="7">
        <f t="shared" si="18"/>
        <v>0.95918367346938771</v>
      </c>
      <c r="R118" s="186">
        <v>0</v>
      </c>
    </row>
    <row r="119" spans="1:18" s="186" customFormat="1" x14ac:dyDescent="0.25">
      <c r="A119" s="12">
        <v>42583</v>
      </c>
      <c r="B119" s="7">
        <v>0.9</v>
      </c>
      <c r="C119" s="52">
        <v>263</v>
      </c>
      <c r="D119" s="52">
        <v>225</v>
      </c>
      <c r="E119" s="101">
        <f t="shared" si="11"/>
        <v>0.85551330798479086</v>
      </c>
      <c r="F119" s="52">
        <v>0</v>
      </c>
      <c r="G119" s="52">
        <v>0</v>
      </c>
      <c r="H119" s="7" t="e">
        <f t="shared" si="15"/>
        <v>#DIV/0!</v>
      </c>
      <c r="I119" s="52">
        <v>4</v>
      </c>
      <c r="J119" s="52">
        <v>1</v>
      </c>
      <c r="K119" s="101">
        <f t="shared" si="17"/>
        <v>0.25</v>
      </c>
      <c r="L119" s="43" t="s">
        <v>84</v>
      </c>
      <c r="M119" s="43" t="s">
        <v>86</v>
      </c>
      <c r="N119" s="101">
        <f t="shared" si="16"/>
        <v>0.66666666666666663</v>
      </c>
      <c r="O119" s="48" t="s">
        <v>185</v>
      </c>
      <c r="P119" s="48" t="s">
        <v>534</v>
      </c>
      <c r="Q119" s="7">
        <f t="shared" si="18"/>
        <v>0.8671875</v>
      </c>
      <c r="R119" s="186">
        <v>0</v>
      </c>
    </row>
    <row r="120" spans="1:18" s="186" customFormat="1" x14ac:dyDescent="0.25">
      <c r="A120" s="12"/>
      <c r="B120" s="12"/>
      <c r="C120" s="7"/>
      <c r="D120" s="43"/>
      <c r="E120" s="43"/>
      <c r="F120" s="101"/>
      <c r="G120" s="43"/>
      <c r="H120" s="43"/>
      <c r="I120" s="6"/>
      <c r="J120" s="43"/>
      <c r="K120" s="43"/>
      <c r="L120" s="6"/>
      <c r="M120" s="43"/>
      <c r="N120" s="43"/>
      <c r="O120" s="101"/>
      <c r="P120" s="48"/>
      <c r="Q120" s="48"/>
      <c r="R120" s="213"/>
    </row>
    <row r="121" spans="1:18" x14ac:dyDescent="0.25">
      <c r="A121" s="12"/>
      <c r="B121" s="12"/>
      <c r="C121" s="13"/>
      <c r="D121" s="44"/>
      <c r="E121" s="44"/>
      <c r="F121" s="10"/>
      <c r="G121" s="44"/>
      <c r="H121" s="44"/>
      <c r="I121" s="10"/>
      <c r="J121" s="44"/>
      <c r="K121" s="44"/>
      <c r="L121" s="10"/>
      <c r="M121" s="44"/>
      <c r="N121" s="44"/>
      <c r="O121" s="10"/>
      <c r="P121" s="45"/>
      <c r="Q121" s="45"/>
      <c r="R121" s="10"/>
    </row>
    <row r="122" spans="1:18" x14ac:dyDescent="0.25">
      <c r="A122" s="14"/>
      <c r="B122" s="14"/>
      <c r="C122" s="15"/>
      <c r="D122" s="44"/>
      <c r="E122" s="44"/>
      <c r="F122" s="10"/>
      <c r="G122" s="44"/>
      <c r="H122" s="44"/>
      <c r="I122" s="10"/>
      <c r="J122" s="44"/>
      <c r="K122" s="44"/>
      <c r="L122" s="10"/>
      <c r="M122" s="44"/>
      <c r="N122" s="44"/>
      <c r="O122" s="10"/>
      <c r="P122" s="45"/>
      <c r="Q122" s="45"/>
      <c r="R122" s="10"/>
    </row>
    <row r="123" spans="1:18" x14ac:dyDescent="0.25">
      <c r="A123" s="14"/>
      <c r="B123" s="14"/>
      <c r="C123" s="15"/>
      <c r="D123" s="44"/>
      <c r="E123" s="44"/>
      <c r="F123" s="10"/>
      <c r="G123" s="44"/>
      <c r="H123" s="44"/>
      <c r="I123" s="10"/>
      <c r="J123" s="44"/>
      <c r="K123" s="44"/>
      <c r="L123" s="10"/>
      <c r="M123" s="44"/>
      <c r="N123" s="44"/>
      <c r="O123" s="10"/>
      <c r="P123" s="45"/>
      <c r="Q123" s="45"/>
      <c r="R123" s="10"/>
    </row>
    <row r="124" spans="1:18" x14ac:dyDescent="0.25">
      <c r="A124" s="2"/>
      <c r="B124" s="2"/>
      <c r="C124" s="10"/>
      <c r="D124" s="44"/>
      <c r="E124" s="44"/>
      <c r="F124" s="10"/>
      <c r="G124" s="44"/>
      <c r="H124" s="44"/>
      <c r="I124" s="10"/>
      <c r="J124" s="44"/>
      <c r="K124" s="44"/>
      <c r="L124" s="10"/>
      <c r="M124" s="44"/>
      <c r="N124" s="44"/>
      <c r="O124" s="10"/>
      <c r="P124" s="45"/>
      <c r="Q124" s="45"/>
      <c r="R124" s="10"/>
    </row>
    <row r="140" spans="1:17" x14ac:dyDescent="0.25">
      <c r="B140" t="s">
        <v>163</v>
      </c>
      <c r="D140"/>
      <c r="E140"/>
      <c r="F140"/>
      <c r="G140"/>
      <c r="H140"/>
    </row>
    <row r="141" spans="1:17" x14ac:dyDescent="0.25">
      <c r="A141" t="s">
        <v>57</v>
      </c>
      <c r="B141" s="37" t="s">
        <v>0</v>
      </c>
      <c r="C141" s="37" t="s">
        <v>166</v>
      </c>
      <c r="D141" t="s">
        <v>167</v>
      </c>
      <c r="E141" t="s">
        <v>171</v>
      </c>
      <c r="F141" t="s">
        <v>169</v>
      </c>
      <c r="G141" t="s">
        <v>170</v>
      </c>
      <c r="H141" t="s">
        <v>176</v>
      </c>
    </row>
    <row r="142" spans="1:17" hidden="1" x14ac:dyDescent="0.25">
      <c r="A142" s="12">
        <v>41061</v>
      </c>
      <c r="B142" s="27">
        <f>SUM(C142:H142)</f>
        <v>150</v>
      </c>
      <c r="C142" s="27">
        <v>116</v>
      </c>
      <c r="D142" s="27">
        <v>21</v>
      </c>
      <c r="E142" s="27">
        <v>7</v>
      </c>
      <c r="F142" s="27">
        <v>6</v>
      </c>
      <c r="G142" s="27">
        <v>0</v>
      </c>
      <c r="H142" s="27">
        <v>0</v>
      </c>
      <c r="K142" s="37"/>
      <c r="L142" s="37"/>
      <c r="M142" s="37"/>
    </row>
    <row r="143" spans="1:17" hidden="1" x14ac:dyDescent="0.25">
      <c r="A143" s="12">
        <v>41091</v>
      </c>
      <c r="B143" s="83">
        <f>SUM(C143:H143)</f>
        <v>113</v>
      </c>
      <c r="C143" s="88">
        <v>70</v>
      </c>
      <c r="D143" s="89">
        <v>31</v>
      </c>
      <c r="E143" s="89">
        <v>7</v>
      </c>
      <c r="F143" s="89">
        <v>4</v>
      </c>
      <c r="G143" s="89">
        <v>0</v>
      </c>
      <c r="H143" s="89">
        <v>1</v>
      </c>
      <c r="J143" s="54"/>
      <c r="K143" s="54"/>
      <c r="L143" s="54"/>
      <c r="M143" s="37"/>
      <c r="N143" s="37"/>
      <c r="O143" s="37"/>
      <c r="P143" s="37"/>
      <c r="Q143" s="37"/>
    </row>
    <row r="144" spans="1:17" hidden="1" x14ac:dyDescent="0.25">
      <c r="A144" s="12">
        <v>41122</v>
      </c>
      <c r="B144" s="27">
        <v>158</v>
      </c>
      <c r="C144" s="88">
        <v>126</v>
      </c>
      <c r="D144" s="89">
        <v>16</v>
      </c>
      <c r="E144" s="89">
        <v>10</v>
      </c>
      <c r="F144" s="89">
        <v>6</v>
      </c>
      <c r="G144" s="89">
        <v>0</v>
      </c>
      <c r="H144" s="89">
        <v>0</v>
      </c>
      <c r="J144" s="61"/>
      <c r="K144" s="54"/>
      <c r="L144" s="57"/>
    </row>
    <row r="145" spans="1:17" hidden="1" x14ac:dyDescent="0.25">
      <c r="A145" s="12">
        <v>41153</v>
      </c>
      <c r="B145" s="27">
        <v>98</v>
      </c>
      <c r="C145" s="88">
        <v>50</v>
      </c>
      <c r="D145" s="89">
        <v>39</v>
      </c>
      <c r="E145" s="89">
        <v>9</v>
      </c>
      <c r="F145" s="89">
        <v>0</v>
      </c>
      <c r="G145" s="89">
        <v>0</v>
      </c>
      <c r="H145" s="89">
        <v>0</v>
      </c>
      <c r="J145" s="54"/>
      <c r="K145" s="54"/>
      <c r="L145" s="57"/>
    </row>
    <row r="146" spans="1:17" hidden="1" x14ac:dyDescent="0.25">
      <c r="A146" s="12">
        <v>41183</v>
      </c>
      <c r="B146" s="27">
        <v>46</v>
      </c>
      <c r="C146" s="88">
        <v>46</v>
      </c>
      <c r="D146" s="89">
        <v>0</v>
      </c>
      <c r="E146" s="89">
        <v>0</v>
      </c>
      <c r="F146" s="89">
        <v>0</v>
      </c>
      <c r="G146" s="89">
        <v>0</v>
      </c>
      <c r="H146" s="89">
        <v>0</v>
      </c>
      <c r="J146" s="54"/>
      <c r="K146" s="54"/>
      <c r="L146" s="54"/>
      <c r="M146" s="37"/>
    </row>
    <row r="147" spans="1:17" hidden="1" x14ac:dyDescent="0.25">
      <c r="A147" s="12">
        <v>41214</v>
      </c>
      <c r="B147" s="27">
        <v>49</v>
      </c>
      <c r="C147" s="88">
        <v>47</v>
      </c>
      <c r="D147" s="89">
        <v>1</v>
      </c>
      <c r="E147" s="89">
        <v>0</v>
      </c>
      <c r="F147" s="89">
        <v>1</v>
      </c>
      <c r="G147" s="89">
        <v>0</v>
      </c>
      <c r="H147" s="89">
        <v>0</v>
      </c>
      <c r="J147" s="91"/>
      <c r="K147" s="54"/>
      <c r="L147" s="54"/>
      <c r="M147" s="49"/>
      <c r="N147" s="37"/>
      <c r="O147" s="37"/>
      <c r="P147" s="37"/>
      <c r="Q147" s="37"/>
    </row>
    <row r="148" spans="1:17" hidden="1" x14ac:dyDescent="0.25">
      <c r="A148" s="12">
        <v>41244</v>
      </c>
      <c r="B148" s="27">
        <v>30</v>
      </c>
      <c r="C148" s="88">
        <v>30</v>
      </c>
      <c r="D148" s="89">
        <v>0</v>
      </c>
      <c r="E148" s="89">
        <v>0</v>
      </c>
      <c r="F148" s="89">
        <v>0</v>
      </c>
      <c r="G148" s="89">
        <v>0</v>
      </c>
      <c r="H148" s="89">
        <v>0</v>
      </c>
      <c r="J148" s="91"/>
      <c r="K148" s="60"/>
      <c r="L148" s="57"/>
    </row>
    <row r="149" spans="1:17" hidden="1" x14ac:dyDescent="0.25">
      <c r="A149" s="12">
        <v>41275</v>
      </c>
      <c r="B149" s="27">
        <v>100</v>
      </c>
      <c r="C149" s="88">
        <v>100</v>
      </c>
      <c r="D149" s="89">
        <v>0</v>
      </c>
      <c r="E149" s="89">
        <v>0</v>
      </c>
      <c r="F149" s="89">
        <v>0</v>
      </c>
      <c r="G149" s="89">
        <v>0</v>
      </c>
      <c r="H149" s="89">
        <v>0</v>
      </c>
      <c r="K149" s="57"/>
      <c r="L149" s="62"/>
    </row>
    <row r="150" spans="1:17" hidden="1" x14ac:dyDescent="0.25">
      <c r="A150" s="12">
        <v>41306</v>
      </c>
      <c r="B150" s="27">
        <v>67</v>
      </c>
      <c r="C150" s="126">
        <v>60</v>
      </c>
      <c r="D150" s="90">
        <v>7</v>
      </c>
      <c r="E150" s="90">
        <v>0</v>
      </c>
      <c r="F150" s="90">
        <v>0</v>
      </c>
      <c r="G150" s="90">
        <v>0</v>
      </c>
      <c r="H150" s="90">
        <v>0</v>
      </c>
      <c r="K150" s="57"/>
      <c r="L150" s="54"/>
      <c r="M150" s="37"/>
    </row>
    <row r="151" spans="1:17" hidden="1" x14ac:dyDescent="0.25">
      <c r="A151" s="12">
        <v>41334</v>
      </c>
      <c r="B151" s="27">
        <v>56</v>
      </c>
      <c r="C151" s="27">
        <v>55</v>
      </c>
      <c r="D151" s="27">
        <v>1</v>
      </c>
      <c r="E151" s="27">
        <v>0</v>
      </c>
      <c r="F151" s="27">
        <v>0</v>
      </c>
      <c r="G151" s="27">
        <v>0</v>
      </c>
      <c r="H151" s="27">
        <v>0</v>
      </c>
      <c r="K151" s="54"/>
      <c r="L151" s="60"/>
      <c r="M151" s="37"/>
      <c r="N151" s="37"/>
      <c r="O151" s="37"/>
      <c r="P151" s="37"/>
      <c r="Q151" s="37"/>
    </row>
    <row r="152" spans="1:17" hidden="1" x14ac:dyDescent="0.25">
      <c r="A152" s="12">
        <v>41365</v>
      </c>
      <c r="B152" s="27">
        <v>102</v>
      </c>
      <c r="C152" s="126">
        <v>100</v>
      </c>
      <c r="D152" s="27">
        <v>2</v>
      </c>
      <c r="E152" s="27">
        <v>0</v>
      </c>
      <c r="F152" s="27">
        <v>0</v>
      </c>
      <c r="G152" s="27">
        <v>0</v>
      </c>
      <c r="H152" s="27">
        <v>0</v>
      </c>
      <c r="K152" s="59"/>
      <c r="L152" s="54"/>
    </row>
    <row r="153" spans="1:17" hidden="1" x14ac:dyDescent="0.25">
      <c r="A153" s="12">
        <v>41395</v>
      </c>
      <c r="B153" s="27">
        <v>81</v>
      </c>
      <c r="C153" s="126">
        <v>72</v>
      </c>
      <c r="D153" s="27">
        <v>9</v>
      </c>
      <c r="E153" s="27">
        <v>0</v>
      </c>
      <c r="F153" s="27">
        <v>0</v>
      </c>
      <c r="G153" s="27">
        <v>0</v>
      </c>
      <c r="H153" s="27">
        <v>0</v>
      </c>
      <c r="K153" s="57"/>
      <c r="L153" s="57"/>
    </row>
    <row r="154" spans="1:17" hidden="1" x14ac:dyDescent="0.25">
      <c r="A154" s="12">
        <v>41426</v>
      </c>
      <c r="B154" s="89">
        <v>90</v>
      </c>
      <c r="C154" s="89">
        <v>72</v>
      </c>
      <c r="D154" s="89">
        <v>10</v>
      </c>
      <c r="E154" s="89">
        <v>8</v>
      </c>
      <c r="F154" s="89">
        <v>0</v>
      </c>
      <c r="G154" s="89">
        <v>0</v>
      </c>
      <c r="H154" s="89">
        <v>0</v>
      </c>
      <c r="J154" s="57"/>
      <c r="K154" s="57"/>
      <c r="L154" s="54"/>
      <c r="M154" s="37"/>
    </row>
    <row r="155" spans="1:17" hidden="1" x14ac:dyDescent="0.25">
      <c r="A155" s="12">
        <v>41456</v>
      </c>
      <c r="B155" s="27">
        <v>77</v>
      </c>
      <c r="C155" s="27">
        <v>50</v>
      </c>
      <c r="D155" s="90">
        <v>12</v>
      </c>
      <c r="E155" s="90">
        <v>8</v>
      </c>
      <c r="F155" s="90">
        <v>7</v>
      </c>
      <c r="G155" s="90">
        <v>0</v>
      </c>
      <c r="H155" s="90">
        <v>0</v>
      </c>
      <c r="K155" s="37"/>
      <c r="L155" s="50"/>
      <c r="M155" s="51"/>
      <c r="N155" s="37"/>
      <c r="O155" s="37"/>
      <c r="P155" s="37"/>
      <c r="Q155" s="37"/>
    </row>
    <row r="156" spans="1:17" hidden="1" x14ac:dyDescent="0.25">
      <c r="A156" s="12">
        <v>41487</v>
      </c>
      <c r="B156" s="27">
        <v>120</v>
      </c>
      <c r="C156" s="27">
        <v>99</v>
      </c>
      <c r="D156" s="90">
        <v>6</v>
      </c>
      <c r="E156" s="90">
        <v>1</v>
      </c>
      <c r="F156" s="90">
        <v>14</v>
      </c>
      <c r="G156" s="90">
        <v>0</v>
      </c>
      <c r="H156" s="90">
        <v>0</v>
      </c>
      <c r="K156" s="37"/>
      <c r="L156" s="50"/>
      <c r="M156" s="51"/>
      <c r="N156" s="37"/>
      <c r="O156" s="37"/>
      <c r="P156" s="37"/>
      <c r="Q156" s="37"/>
    </row>
    <row r="157" spans="1:17" hidden="1" x14ac:dyDescent="0.25">
      <c r="A157" s="12">
        <v>41518</v>
      </c>
      <c r="B157" s="27">
        <v>83</v>
      </c>
      <c r="C157" s="27">
        <v>53</v>
      </c>
      <c r="D157" s="90">
        <v>12</v>
      </c>
      <c r="E157" s="90">
        <v>3</v>
      </c>
      <c r="F157" s="90">
        <v>15</v>
      </c>
      <c r="G157" s="90">
        <v>0</v>
      </c>
      <c r="H157" s="90">
        <v>0</v>
      </c>
      <c r="K157" s="37"/>
      <c r="L157" s="50"/>
      <c r="M157" s="51"/>
      <c r="N157" s="37"/>
      <c r="O157" s="37"/>
      <c r="P157" s="37"/>
      <c r="Q157" s="37"/>
    </row>
    <row r="158" spans="1:17" hidden="1" x14ac:dyDescent="0.25">
      <c r="A158" s="12">
        <v>41548</v>
      </c>
      <c r="B158" s="8">
        <v>83</v>
      </c>
      <c r="C158" s="83">
        <v>64</v>
      </c>
      <c r="D158" s="90">
        <v>1</v>
      </c>
      <c r="E158" s="90">
        <v>2</v>
      </c>
      <c r="F158" s="90">
        <v>9</v>
      </c>
      <c r="G158" s="90">
        <v>7</v>
      </c>
      <c r="H158" s="90">
        <v>0</v>
      </c>
      <c r="K158" s="38"/>
    </row>
    <row r="159" spans="1:17" hidden="1" x14ac:dyDescent="0.25">
      <c r="A159" s="12">
        <v>41579</v>
      </c>
      <c r="B159" s="27">
        <v>80</v>
      </c>
      <c r="C159" s="27">
        <v>66</v>
      </c>
      <c r="D159" s="90">
        <v>3</v>
      </c>
      <c r="E159" s="90">
        <v>1</v>
      </c>
      <c r="F159" s="90">
        <v>3</v>
      </c>
      <c r="G159" s="90">
        <v>7</v>
      </c>
      <c r="H159" s="90">
        <v>0</v>
      </c>
    </row>
    <row r="160" spans="1:17" hidden="1" x14ac:dyDescent="0.25">
      <c r="A160" s="12">
        <v>41609</v>
      </c>
      <c r="B160" s="27">
        <v>72</v>
      </c>
      <c r="C160" s="27">
        <v>35</v>
      </c>
      <c r="D160" s="90">
        <v>26</v>
      </c>
      <c r="E160" s="90">
        <v>1</v>
      </c>
      <c r="F160" s="90">
        <v>3</v>
      </c>
      <c r="G160" s="90">
        <v>7</v>
      </c>
      <c r="H160" s="90">
        <v>0</v>
      </c>
      <c r="L160" s="37"/>
      <c r="M160" s="37"/>
    </row>
    <row r="161" spans="1:17" hidden="1" x14ac:dyDescent="0.25">
      <c r="A161" s="12">
        <v>41640</v>
      </c>
      <c r="B161" s="27">
        <v>109</v>
      </c>
      <c r="C161" s="27">
        <v>70</v>
      </c>
      <c r="D161" s="90">
        <v>3</v>
      </c>
      <c r="E161" s="90">
        <v>25</v>
      </c>
      <c r="F161" s="90">
        <v>2</v>
      </c>
      <c r="G161" s="90">
        <v>9</v>
      </c>
      <c r="H161" s="90">
        <v>0</v>
      </c>
      <c r="L161" s="38"/>
      <c r="M161" s="39"/>
      <c r="N161" s="37"/>
      <c r="O161" s="37"/>
      <c r="P161" s="37"/>
      <c r="Q161" s="37"/>
    </row>
    <row r="162" spans="1:17" hidden="1" x14ac:dyDescent="0.25">
      <c r="A162" s="12">
        <v>41671</v>
      </c>
      <c r="B162" s="27">
        <v>99</v>
      </c>
      <c r="C162" s="27">
        <v>60</v>
      </c>
      <c r="D162" s="90">
        <v>4</v>
      </c>
      <c r="E162" s="90">
        <v>0</v>
      </c>
      <c r="F162" s="90">
        <v>26</v>
      </c>
      <c r="G162" s="90">
        <v>9</v>
      </c>
      <c r="H162" s="90">
        <v>0</v>
      </c>
    </row>
    <row r="163" spans="1:17" hidden="1" x14ac:dyDescent="0.25">
      <c r="A163" s="12">
        <v>41699</v>
      </c>
      <c r="B163" s="27">
        <v>105</v>
      </c>
      <c r="C163" s="27">
        <v>56</v>
      </c>
      <c r="D163" s="90">
        <v>13</v>
      </c>
      <c r="E163" s="90">
        <v>1</v>
      </c>
      <c r="F163" s="90">
        <v>25</v>
      </c>
      <c r="G163" s="90">
        <v>10</v>
      </c>
      <c r="H163" s="90">
        <v>0</v>
      </c>
    </row>
    <row r="164" spans="1:17" hidden="1" x14ac:dyDescent="0.25">
      <c r="A164" s="12">
        <v>41730</v>
      </c>
      <c r="B164" s="27">
        <v>133</v>
      </c>
      <c r="C164" s="27">
        <v>70</v>
      </c>
      <c r="D164" s="90">
        <v>23</v>
      </c>
      <c r="E164" s="90">
        <v>4</v>
      </c>
      <c r="F164" s="90">
        <v>26</v>
      </c>
      <c r="G164" s="90">
        <v>7</v>
      </c>
      <c r="H164" s="90">
        <v>3</v>
      </c>
    </row>
    <row r="165" spans="1:17" hidden="1" x14ac:dyDescent="0.25">
      <c r="A165" s="12">
        <v>41760</v>
      </c>
      <c r="B165" s="27">
        <v>105</v>
      </c>
      <c r="C165" s="27">
        <v>47</v>
      </c>
      <c r="D165" s="90">
        <v>7</v>
      </c>
      <c r="E165" s="90">
        <v>14</v>
      </c>
      <c r="F165" s="90">
        <v>2</v>
      </c>
      <c r="G165" s="90">
        <v>28</v>
      </c>
      <c r="H165" s="90">
        <v>7</v>
      </c>
    </row>
    <row r="166" spans="1:17" hidden="1" x14ac:dyDescent="0.25">
      <c r="A166" s="12">
        <v>41791</v>
      </c>
      <c r="B166" s="27">
        <v>116</v>
      </c>
      <c r="C166" s="27">
        <v>53</v>
      </c>
      <c r="D166" s="90">
        <v>19</v>
      </c>
      <c r="E166" s="90">
        <v>6</v>
      </c>
      <c r="F166" s="90">
        <v>3</v>
      </c>
      <c r="G166" s="90">
        <v>28</v>
      </c>
      <c r="H166" s="90">
        <v>7</v>
      </c>
    </row>
    <row r="167" spans="1:17" hidden="1" x14ac:dyDescent="0.25">
      <c r="A167" s="12">
        <v>41821</v>
      </c>
      <c r="B167" s="27">
        <v>99</v>
      </c>
      <c r="C167" s="27">
        <v>41</v>
      </c>
      <c r="D167" s="90">
        <v>13</v>
      </c>
      <c r="E167" s="90">
        <v>3</v>
      </c>
      <c r="F167" s="90">
        <v>7</v>
      </c>
      <c r="G167" s="90">
        <v>27</v>
      </c>
      <c r="H167" s="90">
        <v>8</v>
      </c>
    </row>
    <row r="168" spans="1:17" hidden="1" x14ac:dyDescent="0.25">
      <c r="A168" s="12">
        <v>41852</v>
      </c>
      <c r="B168" s="27">
        <v>123</v>
      </c>
      <c r="C168" s="27">
        <v>67</v>
      </c>
      <c r="D168" s="90">
        <v>9</v>
      </c>
      <c r="E168" s="90">
        <v>5</v>
      </c>
      <c r="F168" s="90">
        <v>7</v>
      </c>
      <c r="G168" s="90">
        <v>26</v>
      </c>
      <c r="H168" s="90">
        <v>9</v>
      </c>
    </row>
    <row r="169" spans="1:17" hidden="1" x14ac:dyDescent="0.25">
      <c r="A169" s="12">
        <v>41883</v>
      </c>
      <c r="B169" s="27">
        <v>103</v>
      </c>
      <c r="C169" s="27">
        <v>44</v>
      </c>
      <c r="D169" s="90">
        <v>10</v>
      </c>
      <c r="E169" s="90">
        <v>3</v>
      </c>
      <c r="F169" s="90">
        <v>9</v>
      </c>
      <c r="G169" s="90">
        <v>27</v>
      </c>
      <c r="H169" s="90">
        <v>10</v>
      </c>
    </row>
    <row r="170" spans="1:17" hidden="1" x14ac:dyDescent="0.25">
      <c r="A170" s="12">
        <v>41913</v>
      </c>
      <c r="B170" s="27">
        <v>117</v>
      </c>
      <c r="C170" s="27">
        <v>64</v>
      </c>
      <c r="D170" s="90">
        <v>7</v>
      </c>
      <c r="E170" s="90">
        <v>2</v>
      </c>
      <c r="F170" s="90">
        <v>5</v>
      </c>
      <c r="G170" s="90">
        <v>29</v>
      </c>
      <c r="H170" s="90">
        <v>10</v>
      </c>
    </row>
    <row r="171" spans="1:17" hidden="1" x14ac:dyDescent="0.25">
      <c r="A171" s="12">
        <v>41944</v>
      </c>
      <c r="B171" s="27">
        <v>107</v>
      </c>
      <c r="C171" s="27">
        <v>40</v>
      </c>
      <c r="D171" s="90">
        <v>15</v>
      </c>
      <c r="E171" s="90">
        <v>6</v>
      </c>
      <c r="F171" s="90">
        <v>6</v>
      </c>
      <c r="G171" s="90">
        <v>5</v>
      </c>
      <c r="H171" s="90">
        <v>35</v>
      </c>
    </row>
    <row r="172" spans="1:17" hidden="1" x14ac:dyDescent="0.25">
      <c r="A172" s="1">
        <v>41974</v>
      </c>
      <c r="B172" s="27">
        <v>96</v>
      </c>
      <c r="C172" s="27">
        <v>24</v>
      </c>
      <c r="D172" s="90">
        <v>10</v>
      </c>
      <c r="E172" s="90">
        <v>10</v>
      </c>
      <c r="F172" s="90">
        <v>9</v>
      </c>
      <c r="G172" s="90">
        <v>8</v>
      </c>
      <c r="H172" s="90">
        <v>35</v>
      </c>
    </row>
    <row r="173" spans="1:17" hidden="1" x14ac:dyDescent="0.25">
      <c r="A173" s="1">
        <v>42005</v>
      </c>
      <c r="B173" s="27">
        <v>126</v>
      </c>
      <c r="C173" s="27">
        <v>53</v>
      </c>
      <c r="D173" s="90">
        <v>5</v>
      </c>
      <c r="E173" s="90">
        <v>9</v>
      </c>
      <c r="F173" s="90">
        <v>15</v>
      </c>
      <c r="G173" s="90">
        <v>9</v>
      </c>
      <c r="H173" s="90">
        <v>35</v>
      </c>
    </row>
    <row r="174" spans="1:17" hidden="1" x14ac:dyDescent="0.25">
      <c r="A174" s="1">
        <v>42036</v>
      </c>
      <c r="B174" s="27">
        <v>126</v>
      </c>
      <c r="C174" s="27">
        <v>51</v>
      </c>
      <c r="D174" s="90">
        <v>10</v>
      </c>
      <c r="E174" s="90">
        <v>3</v>
      </c>
      <c r="F174" s="90">
        <v>18</v>
      </c>
      <c r="G174" s="90">
        <v>9</v>
      </c>
      <c r="H174" s="90">
        <v>35</v>
      </c>
    </row>
    <row r="175" spans="1:17" hidden="1" x14ac:dyDescent="0.25">
      <c r="A175" s="1">
        <v>42064</v>
      </c>
      <c r="B175" s="27">
        <v>122</v>
      </c>
      <c r="C175" s="27">
        <v>52</v>
      </c>
      <c r="D175" s="27">
        <v>4</v>
      </c>
      <c r="E175" s="27">
        <v>7</v>
      </c>
      <c r="F175" s="90">
        <v>9</v>
      </c>
      <c r="G175" s="90">
        <v>14</v>
      </c>
      <c r="H175" s="90">
        <v>36</v>
      </c>
    </row>
    <row r="176" spans="1:17" hidden="1" x14ac:dyDescent="0.25">
      <c r="A176" s="1">
        <v>42095</v>
      </c>
      <c r="B176" s="27">
        <v>133</v>
      </c>
      <c r="C176" s="27">
        <v>64</v>
      </c>
      <c r="D176" s="27">
        <v>6</v>
      </c>
      <c r="E176" s="27">
        <v>3</v>
      </c>
      <c r="F176" s="90">
        <v>5</v>
      </c>
      <c r="G176" s="90">
        <v>16</v>
      </c>
      <c r="H176" s="90">
        <v>39</v>
      </c>
    </row>
    <row r="177" spans="1:8" x14ac:dyDescent="0.25">
      <c r="A177" s="1">
        <v>42125</v>
      </c>
      <c r="B177" s="27">
        <v>36</v>
      </c>
      <c r="C177" s="27">
        <v>31</v>
      </c>
      <c r="D177" s="27">
        <v>0</v>
      </c>
      <c r="E177" s="27">
        <v>0</v>
      </c>
      <c r="F177" s="90">
        <v>0</v>
      </c>
      <c r="G177" s="90">
        <v>0</v>
      </c>
      <c r="H177" s="90">
        <v>5</v>
      </c>
    </row>
    <row r="178" spans="1:8" x14ac:dyDescent="0.25">
      <c r="A178" s="1">
        <v>42156</v>
      </c>
      <c r="B178" s="27">
        <v>48</v>
      </c>
      <c r="C178" s="27">
        <v>48</v>
      </c>
      <c r="D178" s="27">
        <v>0</v>
      </c>
      <c r="E178" s="27">
        <v>0</v>
      </c>
      <c r="F178" s="90">
        <v>0</v>
      </c>
      <c r="G178" s="90">
        <v>0</v>
      </c>
      <c r="H178" s="90">
        <v>0</v>
      </c>
    </row>
    <row r="179" spans="1:8" s="186" customFormat="1" x14ac:dyDescent="0.25">
      <c r="A179" s="1">
        <v>42200</v>
      </c>
      <c r="B179" s="27">
        <v>85</v>
      </c>
      <c r="C179" s="27">
        <v>80</v>
      </c>
      <c r="D179" s="27">
        <v>5</v>
      </c>
      <c r="E179" s="27">
        <v>0</v>
      </c>
      <c r="F179" s="90">
        <v>0</v>
      </c>
      <c r="G179" s="90">
        <v>0</v>
      </c>
      <c r="H179" s="90">
        <v>0</v>
      </c>
    </row>
    <row r="180" spans="1:8" s="186" customFormat="1" x14ac:dyDescent="0.25">
      <c r="A180" s="1">
        <v>42231</v>
      </c>
      <c r="B180" s="27">
        <v>85</v>
      </c>
      <c r="C180" s="27">
        <v>75</v>
      </c>
      <c r="D180" s="27">
        <v>9</v>
      </c>
      <c r="E180" s="27">
        <v>1</v>
      </c>
      <c r="F180" s="90">
        <v>0</v>
      </c>
      <c r="G180" s="90">
        <v>0</v>
      </c>
      <c r="H180" s="90">
        <v>0</v>
      </c>
    </row>
    <row r="181" spans="1:8" s="186" customFormat="1" x14ac:dyDescent="0.25">
      <c r="A181" s="1">
        <v>42262</v>
      </c>
      <c r="B181" s="27">
        <v>89</v>
      </c>
      <c r="C181" s="27">
        <v>71</v>
      </c>
      <c r="D181" s="27">
        <v>11</v>
      </c>
      <c r="E181" s="27">
        <v>6</v>
      </c>
      <c r="F181" s="90">
        <v>1</v>
      </c>
      <c r="G181" s="90">
        <v>0</v>
      </c>
      <c r="H181" s="90">
        <v>0</v>
      </c>
    </row>
    <row r="182" spans="1:8" s="186" customFormat="1" x14ac:dyDescent="0.25">
      <c r="A182" s="1">
        <v>42292</v>
      </c>
      <c r="B182" s="27">
        <v>73</v>
      </c>
      <c r="C182" s="27">
        <v>54</v>
      </c>
      <c r="D182" s="27">
        <v>8</v>
      </c>
      <c r="E182" s="27">
        <v>6</v>
      </c>
      <c r="F182" s="90">
        <v>5</v>
      </c>
      <c r="G182" s="90">
        <v>0</v>
      </c>
      <c r="H182" s="90">
        <v>0</v>
      </c>
    </row>
    <row r="183" spans="1:8" s="186" customFormat="1" x14ac:dyDescent="0.25">
      <c r="A183" s="1">
        <v>42309</v>
      </c>
      <c r="B183" s="27">
        <v>78</v>
      </c>
      <c r="C183" s="27">
        <v>46</v>
      </c>
      <c r="D183" s="27">
        <v>15</v>
      </c>
      <c r="E183" s="27">
        <v>7</v>
      </c>
      <c r="F183" s="90">
        <v>10</v>
      </c>
      <c r="G183" s="90">
        <v>0</v>
      </c>
      <c r="H183" s="90">
        <v>0</v>
      </c>
    </row>
    <row r="184" spans="1:8" s="186" customFormat="1" x14ac:dyDescent="0.25">
      <c r="A184" s="1">
        <v>42339</v>
      </c>
      <c r="B184" s="27">
        <v>89</v>
      </c>
      <c r="C184" s="27">
        <v>58</v>
      </c>
      <c r="D184" s="27">
        <v>7</v>
      </c>
      <c r="E184" s="27">
        <v>10</v>
      </c>
      <c r="F184" s="90">
        <v>12</v>
      </c>
      <c r="G184" s="90">
        <v>2</v>
      </c>
      <c r="H184" s="90">
        <v>0</v>
      </c>
    </row>
    <row r="185" spans="1:8" s="186" customFormat="1" x14ac:dyDescent="0.25">
      <c r="A185" s="1">
        <v>42370</v>
      </c>
      <c r="B185" s="27">
        <v>99</v>
      </c>
      <c r="C185" s="27">
        <v>65</v>
      </c>
      <c r="D185" s="27">
        <v>11</v>
      </c>
      <c r="E185" s="27">
        <v>3</v>
      </c>
      <c r="F185" s="90">
        <v>16</v>
      </c>
      <c r="G185" s="90">
        <v>4</v>
      </c>
      <c r="H185" s="90">
        <v>0</v>
      </c>
    </row>
    <row r="186" spans="1:8" s="186" customFormat="1" x14ac:dyDescent="0.25">
      <c r="A186" s="1">
        <v>42401</v>
      </c>
      <c r="B186" s="27">
        <v>81</v>
      </c>
      <c r="C186" s="27">
        <v>39</v>
      </c>
      <c r="D186" s="27">
        <v>14</v>
      </c>
      <c r="E186" s="27">
        <v>7</v>
      </c>
      <c r="F186" s="90">
        <v>13</v>
      </c>
      <c r="G186" s="90">
        <v>8</v>
      </c>
      <c r="H186" s="90">
        <v>0</v>
      </c>
    </row>
    <row r="187" spans="1:8" s="186" customFormat="1" x14ac:dyDescent="0.25">
      <c r="A187" s="1">
        <v>42430</v>
      </c>
      <c r="B187" s="27">
        <v>108</v>
      </c>
      <c r="C187" s="27">
        <v>62</v>
      </c>
      <c r="D187" s="27">
        <v>14</v>
      </c>
      <c r="E187" s="27">
        <v>11</v>
      </c>
      <c r="F187" s="90">
        <v>7</v>
      </c>
      <c r="G187" s="90">
        <v>14</v>
      </c>
      <c r="H187" s="90">
        <v>0</v>
      </c>
    </row>
    <row r="188" spans="1:8" s="186" customFormat="1" x14ac:dyDescent="0.25">
      <c r="A188" s="1">
        <v>42461</v>
      </c>
      <c r="B188" s="27">
        <v>97</v>
      </c>
      <c r="C188" s="27">
        <v>49</v>
      </c>
      <c r="D188" s="27">
        <v>18</v>
      </c>
      <c r="E188" s="27">
        <v>8</v>
      </c>
      <c r="F188" s="90">
        <v>7</v>
      </c>
      <c r="G188" s="90">
        <v>15</v>
      </c>
      <c r="H188" s="90">
        <v>0</v>
      </c>
    </row>
    <row r="189" spans="1:8" s="186" customFormat="1" x14ac:dyDescent="0.25">
      <c r="A189" s="1">
        <v>42491</v>
      </c>
      <c r="B189" s="27">
        <v>96</v>
      </c>
      <c r="C189" s="27">
        <v>49</v>
      </c>
      <c r="D189" s="27">
        <v>12</v>
      </c>
      <c r="E189" s="27">
        <v>9</v>
      </c>
      <c r="F189" s="90">
        <v>10</v>
      </c>
      <c r="G189" s="90">
        <v>16</v>
      </c>
      <c r="H189" s="90">
        <v>0</v>
      </c>
    </row>
    <row r="190" spans="1:8" s="186" customFormat="1" x14ac:dyDescent="0.25">
      <c r="A190" s="1">
        <v>42522</v>
      </c>
      <c r="B190" s="27">
        <v>122</v>
      </c>
      <c r="C190" s="27">
        <v>74</v>
      </c>
      <c r="D190" s="27">
        <v>11</v>
      </c>
      <c r="E190" s="27">
        <v>4</v>
      </c>
      <c r="F190" s="90">
        <v>16</v>
      </c>
      <c r="G190" s="90">
        <v>16</v>
      </c>
      <c r="H190" s="90">
        <v>1</v>
      </c>
    </row>
    <row r="191" spans="1:8" s="186" customFormat="1" x14ac:dyDescent="0.25">
      <c r="A191" s="1">
        <v>42552</v>
      </c>
      <c r="B191" s="27">
        <v>130</v>
      </c>
      <c r="C191" s="27">
        <v>62</v>
      </c>
      <c r="D191" s="27">
        <v>28</v>
      </c>
      <c r="E191" s="27">
        <v>4</v>
      </c>
      <c r="F191" s="90">
        <v>15</v>
      </c>
      <c r="G191" s="90">
        <v>17</v>
      </c>
      <c r="H191" s="90">
        <v>4</v>
      </c>
    </row>
    <row r="192" spans="1:8" s="186" customFormat="1" x14ac:dyDescent="0.25">
      <c r="A192" s="1">
        <v>42583</v>
      </c>
      <c r="B192" s="27">
        <v>118</v>
      </c>
      <c r="C192" s="27">
        <v>64</v>
      </c>
      <c r="D192" s="27">
        <v>15</v>
      </c>
      <c r="E192" s="27">
        <v>6</v>
      </c>
      <c r="F192" s="90">
        <v>8</v>
      </c>
      <c r="G192" s="90">
        <v>19</v>
      </c>
      <c r="H192" s="90">
        <v>6</v>
      </c>
    </row>
    <row r="193" spans="4:8" x14ac:dyDescent="0.25">
      <c r="D193"/>
      <c r="E193"/>
      <c r="F193"/>
      <c r="G193"/>
      <c r="H193"/>
    </row>
    <row r="194" spans="4:8" x14ac:dyDescent="0.25">
      <c r="D194"/>
      <c r="E194"/>
      <c r="F194"/>
      <c r="G194"/>
      <c r="H194"/>
    </row>
    <row r="195" spans="4:8" x14ac:dyDescent="0.25">
      <c r="D195"/>
      <c r="E195"/>
      <c r="F195"/>
      <c r="G195"/>
      <c r="H195"/>
    </row>
    <row r="196" spans="4:8" x14ac:dyDescent="0.25">
      <c r="D196"/>
      <c r="E196"/>
      <c r="F196"/>
      <c r="G196"/>
      <c r="H196"/>
    </row>
    <row r="197" spans="4:8" x14ac:dyDescent="0.25">
      <c r="D197"/>
      <c r="E197"/>
      <c r="F197"/>
      <c r="G197"/>
      <c r="H197"/>
    </row>
    <row r="198" spans="4:8" x14ac:dyDescent="0.25">
      <c r="D198"/>
      <c r="E198"/>
      <c r="F198"/>
      <c r="G198"/>
      <c r="H198"/>
    </row>
    <row r="199" spans="4:8" x14ac:dyDescent="0.25">
      <c r="D199"/>
      <c r="E199"/>
      <c r="F199"/>
      <c r="G199"/>
      <c r="H199"/>
    </row>
    <row r="200" spans="4:8" x14ac:dyDescent="0.25">
      <c r="D200"/>
      <c r="E200"/>
      <c r="F200"/>
      <c r="G200"/>
      <c r="H200"/>
    </row>
    <row r="201" spans="4:8" x14ac:dyDescent="0.25">
      <c r="D201"/>
      <c r="E201"/>
      <c r="F201"/>
      <c r="G201"/>
      <c r="H201"/>
    </row>
    <row r="202" spans="4:8" x14ac:dyDescent="0.25">
      <c r="D202"/>
      <c r="E202"/>
      <c r="F202"/>
      <c r="G202"/>
      <c r="H202"/>
    </row>
    <row r="203" spans="4:8" x14ac:dyDescent="0.25">
      <c r="D203"/>
      <c r="E203"/>
      <c r="F203"/>
      <c r="G203"/>
      <c r="H203"/>
    </row>
    <row r="204" spans="4:8" x14ac:dyDescent="0.25">
      <c r="D204"/>
      <c r="E204"/>
      <c r="F204"/>
      <c r="G204"/>
      <c r="H204"/>
    </row>
    <row r="205" spans="4:8" x14ac:dyDescent="0.25">
      <c r="D205"/>
      <c r="E205"/>
      <c r="F205"/>
      <c r="G205"/>
      <c r="H205"/>
    </row>
    <row r="206" spans="4:8" x14ac:dyDescent="0.25">
      <c r="D206"/>
      <c r="E206"/>
      <c r="F206"/>
      <c r="G206"/>
      <c r="H206"/>
    </row>
    <row r="207" spans="4:8" x14ac:dyDescent="0.25">
      <c r="D207"/>
      <c r="E207"/>
      <c r="F207"/>
      <c r="G207"/>
      <c r="H207"/>
    </row>
    <row r="208" spans="4:8" x14ac:dyDescent="0.25">
      <c r="D208"/>
      <c r="E208"/>
      <c r="F208"/>
      <c r="G208"/>
      <c r="H208"/>
    </row>
    <row r="209" spans="4:8" x14ac:dyDescent="0.25">
      <c r="D209"/>
      <c r="E209"/>
      <c r="F209"/>
      <c r="G209"/>
      <c r="H209"/>
    </row>
    <row r="210" spans="4:8" x14ac:dyDescent="0.25">
      <c r="D210"/>
      <c r="E210"/>
      <c r="F210"/>
      <c r="G210"/>
      <c r="H210"/>
    </row>
  </sheetData>
  <pageMargins left="0.25" right="0.25" top="0.75" bottom="0.75" header="0.3" footer="0.3"/>
  <pageSetup orientation="portrait" r:id="rId1"/>
  <rowBreaks count="1" manualBreakCount="1">
    <brk id="37" max="16383" man="1"/>
  </rowBreaks>
  <colBreaks count="2" manualBreakCount="2">
    <brk id="5" max="1048575" man="1"/>
    <brk id="19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23"/>
  <sheetViews>
    <sheetView topLeftCell="A131" zoomScale="110" zoomScaleNormal="110" zoomScaleSheetLayoutView="50" workbookViewId="0">
      <selection activeCell="F195" sqref="F195"/>
    </sheetView>
  </sheetViews>
  <sheetFormatPr defaultRowHeight="15" x14ac:dyDescent="0.25"/>
  <cols>
    <col min="1" max="1" width="11.5703125" customWidth="1"/>
    <col min="2" max="2" width="11.5703125" style="186" customWidth="1"/>
    <col min="3" max="3" width="9.28515625" customWidth="1"/>
    <col min="4" max="4" width="10.28515625" style="37" customWidth="1"/>
    <col min="5" max="5" width="10.28515625" style="187" customWidth="1"/>
    <col min="6" max="6" width="14.5703125" style="37" customWidth="1"/>
    <col min="7" max="7" width="8.85546875" style="37" customWidth="1"/>
    <col min="8" max="8" width="10.140625" style="37" customWidth="1"/>
    <col min="9" max="9" width="11.7109375" style="37" customWidth="1"/>
    <col min="10" max="10" width="10" bestFit="1" customWidth="1"/>
    <col min="11" max="11" width="10.28515625" customWidth="1"/>
    <col min="12" max="12" width="14.42578125" bestFit="1" customWidth="1"/>
    <col min="14" max="14" width="10.5703125" customWidth="1"/>
    <col min="15" max="15" width="14.42578125" bestFit="1" customWidth="1"/>
    <col min="17" max="18" width="10.28515625" customWidth="1"/>
  </cols>
  <sheetData>
    <row r="1" spans="1:22" x14ac:dyDescent="0.25">
      <c r="P1" s="186" t="s">
        <v>523</v>
      </c>
      <c r="Q1" s="186"/>
      <c r="R1" s="186"/>
      <c r="S1" s="187"/>
      <c r="T1" s="187"/>
      <c r="U1" s="187"/>
      <c r="V1" s="187"/>
    </row>
    <row r="2" spans="1:22" ht="30" x14ac:dyDescent="0.25">
      <c r="A2" s="47" t="s">
        <v>57</v>
      </c>
      <c r="B2" s="22" t="s">
        <v>509</v>
      </c>
      <c r="C2" s="5" t="s">
        <v>2</v>
      </c>
      <c r="D2" s="37" t="s">
        <v>0</v>
      </c>
      <c r="E2" s="187" t="s">
        <v>505</v>
      </c>
      <c r="F2" s="37" t="s">
        <v>1</v>
      </c>
      <c r="G2" s="47" t="s">
        <v>528</v>
      </c>
      <c r="P2" s="47" t="s">
        <v>57</v>
      </c>
      <c r="Q2" s="22" t="s">
        <v>509</v>
      </c>
      <c r="R2" s="5" t="s">
        <v>2</v>
      </c>
      <c r="S2" s="187" t="s">
        <v>0</v>
      </c>
      <c r="T2" s="187" t="s">
        <v>505</v>
      </c>
      <c r="U2" s="187" t="s">
        <v>1</v>
      </c>
      <c r="V2" s="187"/>
    </row>
    <row r="3" spans="1:22" hidden="1" x14ac:dyDescent="0.25">
      <c r="A3" s="1">
        <v>40909</v>
      </c>
      <c r="B3" s="1"/>
      <c r="C3" s="32">
        <v>300</v>
      </c>
      <c r="D3" s="38">
        <v>774</v>
      </c>
      <c r="E3" s="38"/>
      <c r="F3" s="37">
        <v>415</v>
      </c>
      <c r="G3" s="19">
        <f t="shared" ref="G3:G13" si="0">+F3/D3</f>
        <v>0.53617571059431524</v>
      </c>
      <c r="P3" s="1">
        <v>40909</v>
      </c>
      <c r="Q3" s="1"/>
      <c r="R3" s="32">
        <v>300</v>
      </c>
      <c r="S3" s="38">
        <v>774</v>
      </c>
      <c r="T3" s="38"/>
      <c r="U3" s="187">
        <v>415</v>
      </c>
      <c r="V3" s="19">
        <f t="shared" ref="V3:V51" si="1">+U3/S3</f>
        <v>0.53617571059431524</v>
      </c>
    </row>
    <row r="4" spans="1:22" hidden="1" x14ac:dyDescent="0.25">
      <c r="A4" s="1">
        <v>40940</v>
      </c>
      <c r="B4" s="1"/>
      <c r="C4" s="32">
        <v>300</v>
      </c>
      <c r="D4" s="38">
        <v>395</v>
      </c>
      <c r="E4" s="38"/>
      <c r="F4" s="37">
        <v>81</v>
      </c>
      <c r="G4" s="19">
        <f t="shared" si="0"/>
        <v>0.20506329113924052</v>
      </c>
      <c r="P4" s="1">
        <v>40940</v>
      </c>
      <c r="Q4" s="1"/>
      <c r="R4" s="32">
        <v>300</v>
      </c>
      <c r="S4" s="38">
        <v>395</v>
      </c>
      <c r="T4" s="38"/>
      <c r="U4" s="187">
        <v>81</v>
      </c>
      <c r="V4" s="19">
        <f t="shared" si="1"/>
        <v>0.20506329113924052</v>
      </c>
    </row>
    <row r="5" spans="1:22" hidden="1" x14ac:dyDescent="0.25">
      <c r="A5" s="1">
        <v>40969</v>
      </c>
      <c r="B5" s="1"/>
      <c r="C5" s="32">
        <v>300</v>
      </c>
      <c r="D5" s="38">
        <v>262</v>
      </c>
      <c r="E5" s="38"/>
      <c r="F5" s="37">
        <v>108</v>
      </c>
      <c r="G5" s="19">
        <f t="shared" si="0"/>
        <v>0.41221374045801529</v>
      </c>
      <c r="P5" s="1">
        <v>40969</v>
      </c>
      <c r="Q5" s="1"/>
      <c r="R5" s="32">
        <v>300</v>
      </c>
      <c r="S5" s="38">
        <v>262</v>
      </c>
      <c r="T5" s="38"/>
      <c r="U5" s="187">
        <v>108</v>
      </c>
      <c r="V5" s="19">
        <f t="shared" si="1"/>
        <v>0.41221374045801529</v>
      </c>
    </row>
    <row r="6" spans="1:22" hidden="1" x14ac:dyDescent="0.25">
      <c r="A6" s="1">
        <v>41000</v>
      </c>
      <c r="B6" s="1"/>
      <c r="C6" s="32">
        <v>300</v>
      </c>
      <c r="D6" s="38">
        <v>341</v>
      </c>
      <c r="E6" s="38"/>
      <c r="F6" s="37">
        <v>164</v>
      </c>
      <c r="G6" s="19">
        <f t="shared" si="0"/>
        <v>0.48093841642228741</v>
      </c>
      <c r="P6" s="1">
        <v>41000</v>
      </c>
      <c r="Q6" s="1"/>
      <c r="R6" s="32">
        <v>300</v>
      </c>
      <c r="S6" s="38">
        <v>341</v>
      </c>
      <c r="T6" s="38"/>
      <c r="U6" s="187">
        <v>164</v>
      </c>
      <c r="V6" s="19">
        <f t="shared" si="1"/>
        <v>0.48093841642228741</v>
      </c>
    </row>
    <row r="7" spans="1:22" hidden="1" x14ac:dyDescent="0.25">
      <c r="A7" s="1">
        <v>41030</v>
      </c>
      <c r="B7" s="1"/>
      <c r="C7" s="32">
        <v>300</v>
      </c>
      <c r="D7" s="38">
        <v>509</v>
      </c>
      <c r="E7" s="38"/>
      <c r="F7" s="37">
        <v>386</v>
      </c>
      <c r="G7" s="19">
        <f t="shared" si="0"/>
        <v>0.75834970530451862</v>
      </c>
      <c r="P7" s="1">
        <v>41030</v>
      </c>
      <c r="Q7" s="1"/>
      <c r="R7" s="32">
        <v>300</v>
      </c>
      <c r="S7" s="38">
        <v>509</v>
      </c>
      <c r="T7" s="38"/>
      <c r="U7" s="187">
        <v>386</v>
      </c>
      <c r="V7" s="19">
        <f t="shared" si="1"/>
        <v>0.75834970530451862</v>
      </c>
    </row>
    <row r="8" spans="1:22" hidden="1" x14ac:dyDescent="0.25">
      <c r="A8" s="1">
        <v>41061</v>
      </c>
      <c r="B8" s="1"/>
      <c r="C8" s="32">
        <v>300</v>
      </c>
      <c r="D8" s="38">
        <v>615</v>
      </c>
      <c r="E8" s="38"/>
      <c r="F8" s="37">
        <v>257</v>
      </c>
      <c r="G8" s="19">
        <f t="shared" si="0"/>
        <v>0.41788617886178864</v>
      </c>
      <c r="P8" s="1">
        <v>41061</v>
      </c>
      <c r="Q8" s="1"/>
      <c r="R8" s="32">
        <v>300</v>
      </c>
      <c r="S8" s="38">
        <v>615</v>
      </c>
      <c r="T8" s="38"/>
      <c r="U8" s="187">
        <v>257</v>
      </c>
      <c r="V8" s="19">
        <f t="shared" si="1"/>
        <v>0.41788617886178864</v>
      </c>
    </row>
    <row r="9" spans="1:22" hidden="1" x14ac:dyDescent="0.25">
      <c r="A9" s="1">
        <v>41091</v>
      </c>
      <c r="B9" s="1"/>
      <c r="C9" s="32">
        <v>300</v>
      </c>
      <c r="D9" s="38">
        <v>700</v>
      </c>
      <c r="E9" s="38"/>
      <c r="F9" s="37">
        <v>320</v>
      </c>
      <c r="G9" s="19">
        <f t="shared" si="0"/>
        <v>0.45714285714285713</v>
      </c>
      <c r="P9" s="1">
        <v>41091</v>
      </c>
      <c r="Q9" s="1"/>
      <c r="R9" s="32">
        <v>300</v>
      </c>
      <c r="S9" s="38">
        <v>700</v>
      </c>
      <c r="T9" s="38"/>
      <c r="U9" s="187">
        <v>320</v>
      </c>
      <c r="V9" s="19">
        <f t="shared" si="1"/>
        <v>0.45714285714285713</v>
      </c>
    </row>
    <row r="10" spans="1:22" hidden="1" x14ac:dyDescent="0.25">
      <c r="A10" s="1">
        <v>41122</v>
      </c>
      <c r="B10" s="1"/>
      <c r="C10" s="32">
        <v>300</v>
      </c>
      <c r="D10" s="38">
        <v>697</v>
      </c>
      <c r="E10" s="38"/>
      <c r="F10" s="37">
        <v>358</v>
      </c>
      <c r="G10" s="19">
        <f t="shared" si="0"/>
        <v>0.51362984218077479</v>
      </c>
      <c r="P10" s="1">
        <v>41122</v>
      </c>
      <c r="Q10" s="1"/>
      <c r="R10" s="32">
        <v>300</v>
      </c>
      <c r="S10" s="38">
        <v>697</v>
      </c>
      <c r="T10" s="38"/>
      <c r="U10" s="187">
        <v>358</v>
      </c>
      <c r="V10" s="19">
        <f t="shared" si="1"/>
        <v>0.51362984218077479</v>
      </c>
    </row>
    <row r="11" spans="1:22" hidden="1" x14ac:dyDescent="0.25">
      <c r="A11" s="1">
        <v>41153</v>
      </c>
      <c r="B11" s="1"/>
      <c r="C11" s="32">
        <v>300</v>
      </c>
      <c r="D11" s="38">
        <v>611</v>
      </c>
      <c r="E11" s="38"/>
      <c r="F11" s="37">
        <v>332</v>
      </c>
      <c r="G11" s="19">
        <f t="shared" si="0"/>
        <v>0.54337152209492634</v>
      </c>
      <c r="P11" s="1">
        <v>41153</v>
      </c>
      <c r="Q11" s="1"/>
      <c r="R11" s="32">
        <v>300</v>
      </c>
      <c r="S11" s="38">
        <v>611</v>
      </c>
      <c r="T11" s="38"/>
      <c r="U11" s="187">
        <v>332</v>
      </c>
      <c r="V11" s="19">
        <f t="shared" si="1"/>
        <v>0.54337152209492634</v>
      </c>
    </row>
    <row r="12" spans="1:22" hidden="1" x14ac:dyDescent="0.25">
      <c r="A12" s="1">
        <v>41183</v>
      </c>
      <c r="B12" s="1"/>
      <c r="C12" s="32">
        <v>300</v>
      </c>
      <c r="D12" s="38">
        <v>299</v>
      </c>
      <c r="E12" s="38"/>
      <c r="F12" s="37">
        <v>47</v>
      </c>
      <c r="G12" s="19">
        <f t="shared" si="0"/>
        <v>0.15719063545150502</v>
      </c>
      <c r="P12" s="1">
        <v>41183</v>
      </c>
      <c r="Q12" s="1"/>
      <c r="R12" s="32">
        <v>300</v>
      </c>
      <c r="S12" s="38">
        <v>299</v>
      </c>
      <c r="T12" s="38"/>
      <c r="U12" s="187">
        <v>47</v>
      </c>
      <c r="V12" s="19">
        <f t="shared" si="1"/>
        <v>0.15719063545150502</v>
      </c>
    </row>
    <row r="13" spans="1:22" hidden="1" x14ac:dyDescent="0.25">
      <c r="A13" s="1">
        <v>41225</v>
      </c>
      <c r="B13" s="1"/>
      <c r="C13" s="32">
        <v>300</v>
      </c>
      <c r="D13" s="38">
        <v>311</v>
      </c>
      <c r="E13" s="38"/>
      <c r="F13" s="37">
        <v>120</v>
      </c>
      <c r="G13" s="19">
        <f t="shared" si="0"/>
        <v>0.38585209003215432</v>
      </c>
      <c r="P13" s="1">
        <v>41225</v>
      </c>
      <c r="Q13" s="1"/>
      <c r="R13" s="32">
        <v>300</v>
      </c>
      <c r="S13" s="38">
        <v>311</v>
      </c>
      <c r="T13" s="38"/>
      <c r="U13" s="187">
        <v>120</v>
      </c>
      <c r="V13" s="19">
        <f t="shared" si="1"/>
        <v>0.38585209003215432</v>
      </c>
    </row>
    <row r="14" spans="1:22" hidden="1" x14ac:dyDescent="0.25">
      <c r="A14" s="1">
        <v>41255</v>
      </c>
      <c r="B14" s="1"/>
      <c r="C14" s="32">
        <v>300</v>
      </c>
      <c r="D14" s="38">
        <v>290</v>
      </c>
      <c r="E14" s="38"/>
      <c r="F14" s="37">
        <v>124</v>
      </c>
      <c r="G14" s="19">
        <f t="shared" ref="G14:G37" si="2">+F14/D14</f>
        <v>0.42758620689655175</v>
      </c>
      <c r="P14" s="1">
        <v>41255</v>
      </c>
      <c r="Q14" s="1"/>
      <c r="R14" s="32">
        <v>300</v>
      </c>
      <c r="S14" s="38">
        <v>290</v>
      </c>
      <c r="T14" s="38"/>
      <c r="U14" s="187">
        <v>124</v>
      </c>
      <c r="V14" s="19">
        <f t="shared" si="1"/>
        <v>0.42758620689655175</v>
      </c>
    </row>
    <row r="15" spans="1:22" hidden="1" x14ac:dyDescent="0.25">
      <c r="A15" s="1">
        <v>41286</v>
      </c>
      <c r="B15" s="84"/>
      <c r="C15" s="32">
        <v>300</v>
      </c>
      <c r="D15" s="38">
        <v>346</v>
      </c>
      <c r="E15" s="38"/>
      <c r="F15" s="38">
        <v>121</v>
      </c>
      <c r="G15" s="19">
        <f t="shared" si="2"/>
        <v>0.34971098265895956</v>
      </c>
      <c r="P15" s="1">
        <v>41286</v>
      </c>
      <c r="Q15" s="84"/>
      <c r="R15" s="32">
        <v>300</v>
      </c>
      <c r="S15" s="38">
        <v>346</v>
      </c>
      <c r="T15" s="38"/>
      <c r="U15" s="38">
        <v>121</v>
      </c>
      <c r="V15" s="19">
        <f t="shared" si="1"/>
        <v>0.34971098265895956</v>
      </c>
    </row>
    <row r="16" spans="1:22" hidden="1" x14ac:dyDescent="0.25">
      <c r="A16" s="1">
        <v>41317</v>
      </c>
      <c r="B16" s="84"/>
      <c r="C16" s="32">
        <v>300</v>
      </c>
      <c r="D16" s="39">
        <v>377</v>
      </c>
      <c r="E16" s="39"/>
      <c r="F16" s="39">
        <v>179</v>
      </c>
      <c r="G16" s="19">
        <f t="shared" si="2"/>
        <v>0.47480106100795755</v>
      </c>
      <c r="P16" s="1">
        <v>41317</v>
      </c>
      <c r="Q16" s="84"/>
      <c r="R16" s="32">
        <v>300</v>
      </c>
      <c r="S16" s="39">
        <v>377</v>
      </c>
      <c r="T16" s="39"/>
      <c r="U16" s="39">
        <v>179</v>
      </c>
      <c r="V16" s="19">
        <f t="shared" si="1"/>
        <v>0.47480106100795755</v>
      </c>
    </row>
    <row r="17" spans="1:22" hidden="1" x14ac:dyDescent="0.25">
      <c r="A17" s="1">
        <v>41345</v>
      </c>
      <c r="B17" s="84"/>
      <c r="C17" s="32">
        <v>300</v>
      </c>
      <c r="D17" s="39">
        <v>286</v>
      </c>
      <c r="E17" s="39"/>
      <c r="F17" s="39">
        <v>123</v>
      </c>
      <c r="G17" s="19">
        <f t="shared" si="2"/>
        <v>0.43006993006993005</v>
      </c>
      <c r="P17" s="1">
        <v>41345</v>
      </c>
      <c r="Q17" s="84"/>
      <c r="R17" s="32">
        <v>300</v>
      </c>
      <c r="S17" s="39">
        <v>286</v>
      </c>
      <c r="T17" s="39"/>
      <c r="U17" s="39">
        <v>123</v>
      </c>
      <c r="V17" s="19">
        <f t="shared" si="1"/>
        <v>0.43006993006993005</v>
      </c>
    </row>
    <row r="18" spans="1:22" hidden="1" x14ac:dyDescent="0.25">
      <c r="A18" s="1">
        <v>41376</v>
      </c>
      <c r="B18" s="84"/>
      <c r="C18" s="32">
        <v>300</v>
      </c>
      <c r="D18" s="39">
        <v>285</v>
      </c>
      <c r="E18" s="39"/>
      <c r="F18" s="39">
        <v>59</v>
      </c>
      <c r="G18" s="19">
        <f t="shared" si="2"/>
        <v>0.20701754385964913</v>
      </c>
      <c r="P18" s="1">
        <v>41376</v>
      </c>
      <c r="Q18" s="84"/>
      <c r="R18" s="32">
        <v>300</v>
      </c>
      <c r="S18" s="39">
        <v>285</v>
      </c>
      <c r="T18" s="39"/>
      <c r="U18" s="39">
        <v>59</v>
      </c>
      <c r="V18" s="19">
        <f t="shared" si="1"/>
        <v>0.20701754385964913</v>
      </c>
    </row>
    <row r="19" spans="1:22" hidden="1" x14ac:dyDescent="0.25">
      <c r="A19" s="1">
        <v>41406</v>
      </c>
      <c r="B19" s="84"/>
      <c r="C19" s="32">
        <v>300</v>
      </c>
      <c r="D19" s="39">
        <v>533</v>
      </c>
      <c r="E19" s="39"/>
      <c r="F19" s="39">
        <v>95</v>
      </c>
      <c r="G19" s="19">
        <f t="shared" si="2"/>
        <v>0.17823639774859287</v>
      </c>
      <c r="P19" s="1">
        <v>41406</v>
      </c>
      <c r="Q19" s="84"/>
      <c r="R19" s="32">
        <v>300</v>
      </c>
      <c r="S19" s="39">
        <v>533</v>
      </c>
      <c r="T19" s="39"/>
      <c r="U19" s="39">
        <v>95</v>
      </c>
      <c r="V19" s="19">
        <f t="shared" si="1"/>
        <v>0.17823639774859287</v>
      </c>
    </row>
    <row r="20" spans="1:22" hidden="1" x14ac:dyDescent="0.25">
      <c r="A20" s="1">
        <v>41437</v>
      </c>
      <c r="B20" s="84"/>
      <c r="C20" s="32">
        <v>300</v>
      </c>
      <c r="D20" s="39">
        <v>461</v>
      </c>
      <c r="E20" s="39"/>
      <c r="F20" s="39">
        <v>220</v>
      </c>
      <c r="G20" s="19">
        <f t="shared" si="2"/>
        <v>0.47722342733188722</v>
      </c>
      <c r="P20" s="1">
        <v>41437</v>
      </c>
      <c r="Q20" s="84"/>
      <c r="R20" s="32">
        <v>300</v>
      </c>
      <c r="S20" s="39">
        <v>461</v>
      </c>
      <c r="T20" s="39"/>
      <c r="U20" s="39">
        <v>220</v>
      </c>
      <c r="V20" s="19">
        <f t="shared" si="1"/>
        <v>0.47722342733188722</v>
      </c>
    </row>
    <row r="21" spans="1:22" hidden="1" x14ac:dyDescent="0.25">
      <c r="A21" s="1">
        <v>41467</v>
      </c>
      <c r="B21" s="84"/>
      <c r="C21" s="32">
        <v>300</v>
      </c>
      <c r="D21" s="39">
        <v>531</v>
      </c>
      <c r="E21" s="39"/>
      <c r="F21" s="39">
        <v>181</v>
      </c>
      <c r="G21" s="19">
        <f t="shared" si="2"/>
        <v>0.3408662900188324</v>
      </c>
      <c r="P21" s="1">
        <v>41467</v>
      </c>
      <c r="Q21" s="84"/>
      <c r="R21" s="32">
        <v>300</v>
      </c>
      <c r="S21" s="39">
        <v>531</v>
      </c>
      <c r="T21" s="39"/>
      <c r="U21" s="39">
        <v>181</v>
      </c>
      <c r="V21" s="19">
        <f t="shared" si="1"/>
        <v>0.3408662900188324</v>
      </c>
    </row>
    <row r="22" spans="1:22" hidden="1" x14ac:dyDescent="0.25">
      <c r="A22" s="1">
        <v>41498</v>
      </c>
      <c r="B22" s="84"/>
      <c r="C22" s="32">
        <v>300</v>
      </c>
      <c r="D22" s="39">
        <v>644</v>
      </c>
      <c r="E22" s="39"/>
      <c r="F22" s="39">
        <v>194</v>
      </c>
      <c r="G22" s="19">
        <f t="shared" si="2"/>
        <v>0.30124223602484473</v>
      </c>
      <c r="P22" s="1">
        <v>41498</v>
      </c>
      <c r="Q22" s="84"/>
      <c r="R22" s="32">
        <v>300</v>
      </c>
      <c r="S22" s="39">
        <v>644</v>
      </c>
      <c r="T22" s="39"/>
      <c r="U22" s="39">
        <v>194</v>
      </c>
      <c r="V22" s="19">
        <f t="shared" si="1"/>
        <v>0.30124223602484473</v>
      </c>
    </row>
    <row r="23" spans="1:22" hidden="1" x14ac:dyDescent="0.25">
      <c r="A23" s="1">
        <v>41529</v>
      </c>
      <c r="B23" s="84"/>
      <c r="C23" s="32">
        <v>300</v>
      </c>
      <c r="D23" s="39">
        <v>502</v>
      </c>
      <c r="E23" s="39"/>
      <c r="F23" s="39">
        <v>201</v>
      </c>
      <c r="G23" s="19">
        <f t="shared" si="2"/>
        <v>0.40039840637450197</v>
      </c>
      <c r="P23" s="1">
        <v>41529</v>
      </c>
      <c r="Q23" s="84"/>
      <c r="R23" s="32">
        <v>300</v>
      </c>
      <c r="S23" s="39">
        <v>502</v>
      </c>
      <c r="T23" s="39"/>
      <c r="U23" s="39">
        <v>201</v>
      </c>
      <c r="V23" s="19">
        <f t="shared" si="1"/>
        <v>0.40039840637450197</v>
      </c>
    </row>
    <row r="24" spans="1:22" hidden="1" x14ac:dyDescent="0.25">
      <c r="A24" s="1">
        <v>41559</v>
      </c>
      <c r="B24" s="84"/>
      <c r="C24" s="32">
        <v>300</v>
      </c>
      <c r="D24" s="39">
        <v>342</v>
      </c>
      <c r="E24" s="39"/>
      <c r="F24" s="39">
        <v>29</v>
      </c>
      <c r="G24" s="19">
        <f t="shared" si="2"/>
        <v>8.4795321637426896E-2</v>
      </c>
      <c r="P24" s="1">
        <v>41559</v>
      </c>
      <c r="Q24" s="84"/>
      <c r="R24" s="32">
        <v>300</v>
      </c>
      <c r="S24" s="39">
        <v>342</v>
      </c>
      <c r="T24" s="39"/>
      <c r="U24" s="39">
        <v>29</v>
      </c>
      <c r="V24" s="19">
        <f t="shared" si="1"/>
        <v>8.4795321637426896E-2</v>
      </c>
    </row>
    <row r="25" spans="1:22" hidden="1" x14ac:dyDescent="0.25">
      <c r="A25" s="1">
        <v>41590</v>
      </c>
      <c r="B25" s="84"/>
      <c r="C25" s="32">
        <v>300</v>
      </c>
      <c r="D25" s="39">
        <v>279</v>
      </c>
      <c r="E25" s="39"/>
      <c r="F25" s="39">
        <v>97</v>
      </c>
      <c r="G25" s="19">
        <f t="shared" si="2"/>
        <v>0.34767025089605735</v>
      </c>
      <c r="P25" s="1">
        <v>41590</v>
      </c>
      <c r="Q25" s="84"/>
      <c r="R25" s="32">
        <v>300</v>
      </c>
      <c r="S25" s="39">
        <v>279</v>
      </c>
      <c r="T25" s="39"/>
      <c r="U25" s="39">
        <v>97</v>
      </c>
      <c r="V25" s="19">
        <f t="shared" si="1"/>
        <v>0.34767025089605735</v>
      </c>
    </row>
    <row r="26" spans="1:22" hidden="1" x14ac:dyDescent="0.25">
      <c r="A26" s="1">
        <v>41620</v>
      </c>
      <c r="B26" s="84"/>
      <c r="C26" s="32">
        <v>300</v>
      </c>
      <c r="D26" s="39">
        <v>285</v>
      </c>
      <c r="E26" s="39"/>
      <c r="F26" s="39">
        <v>93</v>
      </c>
      <c r="G26" s="19">
        <f t="shared" si="2"/>
        <v>0.32631578947368423</v>
      </c>
      <c r="P26" s="1">
        <v>41620</v>
      </c>
      <c r="Q26" s="84"/>
      <c r="R26" s="32">
        <v>300</v>
      </c>
      <c r="S26" s="39">
        <v>285</v>
      </c>
      <c r="T26" s="39"/>
      <c r="U26" s="39">
        <v>93</v>
      </c>
      <c r="V26" s="19">
        <f t="shared" si="1"/>
        <v>0.32631578947368423</v>
      </c>
    </row>
    <row r="27" spans="1:22" hidden="1" x14ac:dyDescent="0.25">
      <c r="A27" s="1">
        <v>41651</v>
      </c>
      <c r="B27" s="84"/>
      <c r="C27" s="32">
        <v>300</v>
      </c>
      <c r="D27" s="39">
        <v>395</v>
      </c>
      <c r="E27" s="39"/>
      <c r="F27" s="39">
        <v>150</v>
      </c>
      <c r="G27" s="19">
        <f t="shared" si="2"/>
        <v>0.379746835443038</v>
      </c>
      <c r="P27" s="1">
        <v>41651</v>
      </c>
      <c r="Q27" s="84"/>
      <c r="R27" s="32">
        <v>300</v>
      </c>
      <c r="S27" s="39">
        <v>395</v>
      </c>
      <c r="T27" s="39"/>
      <c r="U27" s="39">
        <v>150</v>
      </c>
      <c r="V27" s="19">
        <f t="shared" si="1"/>
        <v>0.379746835443038</v>
      </c>
    </row>
    <row r="28" spans="1:22" hidden="1" x14ac:dyDescent="0.25">
      <c r="A28" s="1">
        <v>41682</v>
      </c>
      <c r="B28" s="84"/>
      <c r="C28" s="32">
        <v>300</v>
      </c>
      <c r="D28" s="39">
        <v>309</v>
      </c>
      <c r="E28" s="39"/>
      <c r="F28" s="39">
        <v>142</v>
      </c>
      <c r="G28" s="19">
        <f t="shared" si="2"/>
        <v>0.45954692556634302</v>
      </c>
      <c r="P28" s="1">
        <v>41682</v>
      </c>
      <c r="Q28" s="84"/>
      <c r="R28" s="32">
        <v>300</v>
      </c>
      <c r="S28" s="39">
        <v>309</v>
      </c>
      <c r="T28" s="39"/>
      <c r="U28" s="39">
        <v>142</v>
      </c>
      <c r="V28" s="19">
        <f t="shared" si="1"/>
        <v>0.45954692556634302</v>
      </c>
    </row>
    <row r="29" spans="1:22" hidden="1" x14ac:dyDescent="0.25">
      <c r="A29" s="1">
        <v>41710</v>
      </c>
      <c r="B29" s="84">
        <v>583</v>
      </c>
      <c r="C29" s="32">
        <v>300</v>
      </c>
      <c r="D29" s="39">
        <v>322</v>
      </c>
      <c r="E29" s="39">
        <v>514</v>
      </c>
      <c r="F29" s="39">
        <v>187</v>
      </c>
      <c r="G29" s="19">
        <f t="shared" si="2"/>
        <v>0.58074534161490687</v>
      </c>
      <c r="P29" s="1">
        <v>41710</v>
      </c>
      <c r="Q29" s="84">
        <v>583</v>
      </c>
      <c r="R29" s="32">
        <v>300</v>
      </c>
      <c r="S29" s="39">
        <v>322</v>
      </c>
      <c r="T29" s="39">
        <v>514</v>
      </c>
      <c r="U29" s="39">
        <v>187</v>
      </c>
      <c r="V29" s="19">
        <f t="shared" si="1"/>
        <v>0.58074534161490687</v>
      </c>
    </row>
    <row r="30" spans="1:22" hidden="1" x14ac:dyDescent="0.25">
      <c r="A30" s="1">
        <v>41741</v>
      </c>
      <c r="B30" s="84">
        <v>702</v>
      </c>
      <c r="C30" s="32">
        <v>300</v>
      </c>
      <c r="D30" s="39">
        <v>369</v>
      </c>
      <c r="E30" s="39">
        <v>585</v>
      </c>
      <c r="F30" s="39">
        <v>141</v>
      </c>
      <c r="G30" s="19">
        <f t="shared" si="2"/>
        <v>0.38211382113821141</v>
      </c>
      <c r="P30" s="1">
        <v>41741</v>
      </c>
      <c r="Q30" s="84">
        <v>702</v>
      </c>
      <c r="R30" s="32">
        <v>300</v>
      </c>
      <c r="S30" s="39">
        <v>369</v>
      </c>
      <c r="T30" s="39">
        <v>585</v>
      </c>
      <c r="U30" s="39">
        <v>141</v>
      </c>
      <c r="V30" s="19">
        <f t="shared" si="1"/>
        <v>0.38211382113821141</v>
      </c>
    </row>
    <row r="31" spans="1:22" hidden="1" x14ac:dyDescent="0.25">
      <c r="A31" s="1">
        <v>41771</v>
      </c>
      <c r="B31" s="84">
        <v>764</v>
      </c>
      <c r="C31" s="32">
        <v>300</v>
      </c>
      <c r="D31" s="39">
        <v>346</v>
      </c>
      <c r="E31" s="39">
        <v>616</v>
      </c>
      <c r="F31" s="39">
        <v>89</v>
      </c>
      <c r="G31" s="19">
        <f t="shared" si="2"/>
        <v>0.25722543352601157</v>
      </c>
      <c r="P31" s="1">
        <v>41771</v>
      </c>
      <c r="Q31" s="84">
        <v>764</v>
      </c>
      <c r="R31" s="32">
        <v>300</v>
      </c>
      <c r="S31" s="39">
        <v>346</v>
      </c>
      <c r="T31" s="39">
        <v>616</v>
      </c>
      <c r="U31" s="39">
        <v>89</v>
      </c>
      <c r="V31" s="19">
        <f t="shared" si="1"/>
        <v>0.25722543352601157</v>
      </c>
    </row>
    <row r="32" spans="1:22" hidden="1" x14ac:dyDescent="0.25">
      <c r="A32" s="1">
        <v>41802</v>
      </c>
      <c r="B32" s="84">
        <v>737</v>
      </c>
      <c r="C32" s="32">
        <v>300</v>
      </c>
      <c r="D32" s="39">
        <v>248</v>
      </c>
      <c r="E32" s="39">
        <v>665</v>
      </c>
      <c r="F32" s="39">
        <v>50</v>
      </c>
      <c r="G32" s="19">
        <f t="shared" si="2"/>
        <v>0.20161290322580644</v>
      </c>
      <c r="P32" s="1">
        <v>41802</v>
      </c>
      <c r="Q32" s="84">
        <v>737</v>
      </c>
      <c r="R32" s="32">
        <v>300</v>
      </c>
      <c r="S32" s="39">
        <v>248</v>
      </c>
      <c r="T32" s="39">
        <v>665</v>
      </c>
      <c r="U32" s="39">
        <v>50</v>
      </c>
      <c r="V32" s="19">
        <f t="shared" si="1"/>
        <v>0.20161290322580644</v>
      </c>
    </row>
    <row r="33" spans="1:22" hidden="1" x14ac:dyDescent="0.25">
      <c r="A33" s="1">
        <v>41832</v>
      </c>
      <c r="B33" s="84">
        <v>594</v>
      </c>
      <c r="C33" s="32">
        <v>300</v>
      </c>
      <c r="D33" s="39">
        <v>232</v>
      </c>
      <c r="E33" s="39">
        <v>547</v>
      </c>
      <c r="F33" s="39">
        <v>104</v>
      </c>
      <c r="G33" s="19">
        <f t="shared" si="2"/>
        <v>0.44827586206896552</v>
      </c>
      <c r="P33" s="1">
        <v>41832</v>
      </c>
      <c r="Q33" s="84">
        <v>594</v>
      </c>
      <c r="R33" s="32">
        <v>300</v>
      </c>
      <c r="S33" s="39">
        <v>232</v>
      </c>
      <c r="T33" s="39">
        <v>547</v>
      </c>
      <c r="U33" s="39">
        <v>104</v>
      </c>
      <c r="V33" s="19">
        <f t="shared" si="1"/>
        <v>0.44827586206896552</v>
      </c>
    </row>
    <row r="34" spans="1:22" hidden="1" x14ac:dyDescent="0.25">
      <c r="A34" s="1">
        <v>41863</v>
      </c>
      <c r="B34" s="84">
        <v>820</v>
      </c>
      <c r="C34" s="32">
        <v>300</v>
      </c>
      <c r="D34" s="39">
        <v>333</v>
      </c>
      <c r="E34" s="39">
        <v>633</v>
      </c>
      <c r="F34" s="39">
        <v>97</v>
      </c>
      <c r="G34" s="19">
        <f t="shared" si="2"/>
        <v>0.29129129129129128</v>
      </c>
      <c r="P34" s="1">
        <v>41863</v>
      </c>
      <c r="Q34" s="84">
        <v>820</v>
      </c>
      <c r="R34" s="32">
        <v>300</v>
      </c>
      <c r="S34" s="39">
        <v>333</v>
      </c>
      <c r="T34" s="39">
        <v>633</v>
      </c>
      <c r="U34" s="39">
        <v>97</v>
      </c>
      <c r="V34" s="19">
        <f t="shared" si="1"/>
        <v>0.29129129129129128</v>
      </c>
    </row>
    <row r="35" spans="1:22" s="186" customFormat="1" hidden="1" x14ac:dyDescent="0.25">
      <c r="A35" s="1">
        <v>41894</v>
      </c>
      <c r="B35" s="84">
        <v>731</v>
      </c>
      <c r="C35" s="32">
        <v>300</v>
      </c>
      <c r="D35" s="39">
        <v>208</v>
      </c>
      <c r="E35" s="39">
        <v>691</v>
      </c>
      <c r="F35" s="39">
        <v>74</v>
      </c>
      <c r="G35" s="19">
        <f t="shared" si="2"/>
        <v>0.35576923076923078</v>
      </c>
      <c r="H35" s="187"/>
      <c r="I35" s="187"/>
      <c r="P35" s="1">
        <v>41894</v>
      </c>
      <c r="Q35" s="84">
        <v>731</v>
      </c>
      <c r="R35" s="32">
        <v>300</v>
      </c>
      <c r="S35" s="39">
        <v>208</v>
      </c>
      <c r="T35" s="39">
        <v>691</v>
      </c>
      <c r="U35" s="39">
        <v>74</v>
      </c>
      <c r="V35" s="19">
        <f t="shared" si="1"/>
        <v>0.35576923076923078</v>
      </c>
    </row>
    <row r="36" spans="1:22" s="186" customFormat="1" hidden="1" x14ac:dyDescent="0.25">
      <c r="A36" s="1">
        <v>41924</v>
      </c>
      <c r="B36" s="84">
        <v>815</v>
      </c>
      <c r="C36" s="32">
        <v>300</v>
      </c>
      <c r="D36" s="39">
        <v>308</v>
      </c>
      <c r="E36" s="39">
        <v>680</v>
      </c>
      <c r="F36" s="39">
        <v>116</v>
      </c>
      <c r="G36" s="19">
        <f t="shared" si="2"/>
        <v>0.37662337662337664</v>
      </c>
      <c r="H36" s="187"/>
      <c r="I36" s="187"/>
      <c r="P36" s="1">
        <v>41924</v>
      </c>
      <c r="Q36" s="84">
        <v>815</v>
      </c>
      <c r="R36" s="32">
        <v>300</v>
      </c>
      <c r="S36" s="39">
        <v>308</v>
      </c>
      <c r="T36" s="39">
        <v>680</v>
      </c>
      <c r="U36" s="39">
        <v>116</v>
      </c>
      <c r="V36" s="19">
        <f t="shared" si="1"/>
        <v>0.37662337662337664</v>
      </c>
    </row>
    <row r="37" spans="1:22" s="186" customFormat="1" hidden="1" x14ac:dyDescent="0.25">
      <c r="A37" s="1">
        <v>41955</v>
      </c>
      <c r="B37" s="84">
        <v>803</v>
      </c>
      <c r="C37" s="32">
        <v>300</v>
      </c>
      <c r="D37" s="39">
        <v>392</v>
      </c>
      <c r="E37" s="39">
        <v>624</v>
      </c>
      <c r="F37" s="39">
        <v>170</v>
      </c>
      <c r="G37" s="19">
        <f t="shared" si="2"/>
        <v>0.43367346938775508</v>
      </c>
      <c r="H37" s="187"/>
      <c r="I37" s="187"/>
      <c r="P37" s="1">
        <v>41955</v>
      </c>
      <c r="Q37" s="84">
        <v>803</v>
      </c>
      <c r="R37" s="32">
        <v>300</v>
      </c>
      <c r="S37" s="39">
        <v>392</v>
      </c>
      <c r="T37" s="39">
        <v>624</v>
      </c>
      <c r="U37" s="39">
        <v>170</v>
      </c>
      <c r="V37" s="19">
        <f t="shared" si="1"/>
        <v>0.43367346938775508</v>
      </c>
    </row>
    <row r="38" spans="1:22" hidden="1" x14ac:dyDescent="0.25">
      <c r="A38" s="1">
        <v>41974</v>
      </c>
      <c r="B38" s="84">
        <v>551</v>
      </c>
      <c r="C38" s="32">
        <v>300</v>
      </c>
      <c r="D38" s="39">
        <v>394</v>
      </c>
      <c r="E38" s="39">
        <v>461</v>
      </c>
      <c r="F38" s="39">
        <v>213</v>
      </c>
      <c r="H38" s="212">
        <f t="shared" ref="H38:H58" si="3">+F38/D38</f>
        <v>0.54060913705583757</v>
      </c>
      <c r="P38" s="1">
        <v>41974</v>
      </c>
      <c r="Q38" s="84">
        <v>457</v>
      </c>
      <c r="R38" s="32">
        <v>300</v>
      </c>
      <c r="S38" s="39">
        <v>448</v>
      </c>
      <c r="T38" s="39">
        <v>93</v>
      </c>
      <c r="U38" s="39">
        <v>213</v>
      </c>
      <c r="V38" s="212">
        <f t="shared" si="1"/>
        <v>0.47544642857142855</v>
      </c>
    </row>
    <row r="39" spans="1:22" s="186" customFormat="1" hidden="1" x14ac:dyDescent="0.25">
      <c r="A39" s="1">
        <v>42005</v>
      </c>
      <c r="B39" s="84">
        <v>845</v>
      </c>
      <c r="C39" s="32">
        <v>300</v>
      </c>
      <c r="D39" s="39">
        <v>415</v>
      </c>
      <c r="E39" s="39">
        <v>710</v>
      </c>
      <c r="F39" s="39">
        <v>216</v>
      </c>
      <c r="H39" s="212">
        <f t="shared" si="3"/>
        <v>0.52048192771084334</v>
      </c>
      <c r="I39" s="187"/>
      <c r="P39" s="1">
        <v>42005</v>
      </c>
      <c r="Q39" s="84">
        <v>655</v>
      </c>
      <c r="R39" s="32">
        <v>300</v>
      </c>
      <c r="S39" s="39">
        <v>392</v>
      </c>
      <c r="T39" s="39">
        <v>591</v>
      </c>
      <c r="U39" s="39">
        <v>213</v>
      </c>
      <c r="V39" s="212">
        <f t="shared" si="1"/>
        <v>0.54336734693877553</v>
      </c>
    </row>
    <row r="40" spans="1:22" s="186" customFormat="1" hidden="1" x14ac:dyDescent="0.25">
      <c r="A40" s="1">
        <v>42036</v>
      </c>
      <c r="B40" s="84">
        <v>824</v>
      </c>
      <c r="C40" s="32">
        <v>300</v>
      </c>
      <c r="D40" s="39">
        <v>499</v>
      </c>
      <c r="E40" s="39">
        <v>605</v>
      </c>
      <c r="F40" s="39">
        <v>204</v>
      </c>
      <c r="H40" s="212">
        <f t="shared" si="3"/>
        <v>0.4088176352705411</v>
      </c>
      <c r="I40" s="187"/>
      <c r="P40" s="1">
        <v>42036</v>
      </c>
      <c r="Q40" s="84">
        <v>682</v>
      </c>
      <c r="R40" s="32">
        <v>300</v>
      </c>
      <c r="S40" s="39">
        <v>466</v>
      </c>
      <c r="T40" s="39">
        <v>484</v>
      </c>
      <c r="U40" s="39">
        <v>204</v>
      </c>
      <c r="V40" s="212">
        <f t="shared" si="1"/>
        <v>0.43776824034334766</v>
      </c>
    </row>
    <row r="41" spans="1:22" s="186" customFormat="1" hidden="1" x14ac:dyDescent="0.25">
      <c r="A41" s="1">
        <v>42064</v>
      </c>
      <c r="B41" s="84">
        <v>740</v>
      </c>
      <c r="C41" s="32">
        <v>300</v>
      </c>
      <c r="D41" s="39">
        <v>263</v>
      </c>
      <c r="E41" s="39">
        <v>716</v>
      </c>
      <c r="F41" s="39">
        <v>84</v>
      </c>
      <c r="H41" s="212">
        <f t="shared" si="3"/>
        <v>0.3193916349809886</v>
      </c>
      <c r="I41" s="187"/>
      <c r="P41" s="1">
        <v>42064</v>
      </c>
      <c r="Q41" s="84">
        <v>595</v>
      </c>
      <c r="R41" s="32">
        <v>300</v>
      </c>
      <c r="S41" s="39">
        <v>213</v>
      </c>
      <c r="T41" s="39">
        <v>595</v>
      </c>
      <c r="U41" s="39">
        <v>84</v>
      </c>
      <c r="V41" s="212">
        <f t="shared" si="1"/>
        <v>0.39436619718309857</v>
      </c>
    </row>
    <row r="42" spans="1:22" s="186" customFormat="1" hidden="1" x14ac:dyDescent="0.25">
      <c r="A42" s="1">
        <v>42095</v>
      </c>
      <c r="B42" s="84">
        <v>655</v>
      </c>
      <c r="C42" s="32">
        <v>300</v>
      </c>
      <c r="D42" s="39">
        <v>235</v>
      </c>
      <c r="E42" s="39">
        <v>627</v>
      </c>
      <c r="F42" s="39">
        <v>75</v>
      </c>
      <c r="H42" s="212">
        <f t="shared" si="3"/>
        <v>0.31914893617021278</v>
      </c>
      <c r="I42" s="187"/>
      <c r="P42" s="1">
        <v>42095</v>
      </c>
      <c r="Q42" s="84">
        <v>537</v>
      </c>
      <c r="R42" s="32">
        <v>300</v>
      </c>
      <c r="S42" s="39">
        <v>161</v>
      </c>
      <c r="T42" s="39">
        <v>536</v>
      </c>
      <c r="U42" s="39">
        <v>55</v>
      </c>
      <c r="V42" s="212">
        <f t="shared" si="1"/>
        <v>0.34161490683229812</v>
      </c>
    </row>
    <row r="43" spans="1:22" s="186" customFormat="1" x14ac:dyDescent="0.25">
      <c r="A43" s="1">
        <v>42125</v>
      </c>
      <c r="B43" s="84">
        <v>694</v>
      </c>
      <c r="C43" s="32">
        <v>300</v>
      </c>
      <c r="D43" s="39">
        <v>294</v>
      </c>
      <c r="E43" s="39">
        <v>587</v>
      </c>
      <c r="F43" s="39">
        <v>122</v>
      </c>
      <c r="H43" s="212">
        <f t="shared" si="3"/>
        <v>0.41496598639455784</v>
      </c>
      <c r="I43" s="187"/>
      <c r="P43" s="1">
        <v>42125</v>
      </c>
      <c r="Q43" s="84">
        <v>482</v>
      </c>
      <c r="R43" s="32">
        <v>300</v>
      </c>
      <c r="S43" s="39">
        <v>179</v>
      </c>
      <c r="T43" s="39">
        <v>444</v>
      </c>
      <c r="U43" s="39">
        <v>102</v>
      </c>
      <c r="V43" s="212">
        <f t="shared" si="1"/>
        <v>0.56983240223463683</v>
      </c>
    </row>
    <row r="44" spans="1:22" s="186" customFormat="1" x14ac:dyDescent="0.25">
      <c r="A44" s="1">
        <v>42156</v>
      </c>
      <c r="B44" s="84">
        <v>644</v>
      </c>
      <c r="C44" s="32">
        <v>300</v>
      </c>
      <c r="D44" s="39">
        <v>316</v>
      </c>
      <c r="E44" s="39">
        <v>567</v>
      </c>
      <c r="F44" s="39">
        <v>150</v>
      </c>
      <c r="H44" s="212">
        <f t="shared" si="3"/>
        <v>0.47468354430379744</v>
      </c>
      <c r="I44" s="187"/>
      <c r="P44" s="1">
        <v>42156</v>
      </c>
      <c r="Q44" s="84">
        <v>494</v>
      </c>
      <c r="R44" s="32">
        <v>300</v>
      </c>
      <c r="S44" s="39">
        <v>187</v>
      </c>
      <c r="T44" s="39">
        <v>449</v>
      </c>
      <c r="U44" s="39">
        <v>76</v>
      </c>
      <c r="V44" s="212">
        <f t="shared" si="1"/>
        <v>0.40641711229946526</v>
      </c>
    </row>
    <row r="45" spans="1:22" s="186" customFormat="1" x14ac:dyDescent="0.25">
      <c r="A45" s="1">
        <v>42200</v>
      </c>
      <c r="B45" s="84">
        <v>610</v>
      </c>
      <c r="C45" s="32">
        <v>300</v>
      </c>
      <c r="D45" s="39">
        <v>372</v>
      </c>
      <c r="E45" s="39">
        <v>477</v>
      </c>
      <c r="F45" s="39">
        <v>140</v>
      </c>
      <c r="H45" s="212">
        <f t="shared" si="3"/>
        <v>0.37634408602150538</v>
      </c>
      <c r="I45" s="187"/>
      <c r="P45" s="1">
        <v>42200</v>
      </c>
      <c r="Q45" s="84">
        <v>465</v>
      </c>
      <c r="R45" s="32">
        <v>300</v>
      </c>
      <c r="S45" s="39">
        <v>172</v>
      </c>
      <c r="T45" s="39">
        <v>426</v>
      </c>
      <c r="U45" s="39">
        <v>60</v>
      </c>
      <c r="V45" s="212">
        <f t="shared" si="1"/>
        <v>0.34883720930232559</v>
      </c>
    </row>
    <row r="46" spans="1:22" s="186" customFormat="1" x14ac:dyDescent="0.25">
      <c r="A46" s="1">
        <v>42231</v>
      </c>
      <c r="B46" s="84">
        <v>629</v>
      </c>
      <c r="C46" s="32">
        <v>300</v>
      </c>
      <c r="D46" s="39">
        <v>485</v>
      </c>
      <c r="E46" s="39">
        <v>403</v>
      </c>
      <c r="F46" s="39">
        <v>186</v>
      </c>
      <c r="H46" s="212">
        <f t="shared" si="3"/>
        <v>0.38350515463917528</v>
      </c>
      <c r="I46" s="187"/>
      <c r="P46" s="1">
        <v>42231</v>
      </c>
      <c r="Q46" s="84">
        <v>431</v>
      </c>
      <c r="R46" s="32">
        <v>300</v>
      </c>
      <c r="S46" s="39">
        <v>152</v>
      </c>
      <c r="T46" s="39">
        <v>399</v>
      </c>
      <c r="U46" s="39">
        <v>68</v>
      </c>
      <c r="V46" s="212">
        <f t="shared" si="1"/>
        <v>0.44736842105263158</v>
      </c>
    </row>
    <row r="47" spans="1:22" s="186" customFormat="1" x14ac:dyDescent="0.25">
      <c r="A47" s="1">
        <v>42262</v>
      </c>
      <c r="B47" s="84">
        <v>657</v>
      </c>
      <c r="C47" s="32">
        <v>300</v>
      </c>
      <c r="D47" s="39">
        <v>521</v>
      </c>
      <c r="E47" s="39">
        <v>552</v>
      </c>
      <c r="F47" s="39">
        <v>298</v>
      </c>
      <c r="H47" s="212">
        <f t="shared" si="3"/>
        <v>0.57197696737044146</v>
      </c>
      <c r="I47" s="187"/>
      <c r="P47" s="1">
        <v>42262</v>
      </c>
      <c r="Q47" s="84">
        <v>450</v>
      </c>
      <c r="R47" s="32">
        <v>300</v>
      </c>
      <c r="S47" s="49">
        <v>110</v>
      </c>
      <c r="T47" s="39">
        <v>427</v>
      </c>
      <c r="U47" s="39">
        <v>26</v>
      </c>
      <c r="V47" s="212">
        <f t="shared" si="1"/>
        <v>0.23636363636363636</v>
      </c>
    </row>
    <row r="48" spans="1:22" s="186" customFormat="1" x14ac:dyDescent="0.25">
      <c r="A48" s="1">
        <v>42292</v>
      </c>
      <c r="B48" s="84">
        <v>776</v>
      </c>
      <c r="C48" s="32">
        <v>300</v>
      </c>
      <c r="D48" s="39">
        <v>586</v>
      </c>
      <c r="E48" s="39">
        <v>573</v>
      </c>
      <c r="F48" s="39">
        <v>322</v>
      </c>
      <c r="H48" s="212">
        <f t="shared" si="3"/>
        <v>0.54948805460750849</v>
      </c>
      <c r="I48" s="187"/>
      <c r="P48" s="1">
        <v>42292</v>
      </c>
      <c r="Q48" s="84">
        <v>631</v>
      </c>
      <c r="R48" s="32">
        <v>300</v>
      </c>
      <c r="S48" s="39">
        <v>168</v>
      </c>
      <c r="T48" s="39">
        <v>544</v>
      </c>
      <c r="U48" s="187">
        <v>33</v>
      </c>
      <c r="V48" s="212">
        <f t="shared" si="1"/>
        <v>0.19642857142857142</v>
      </c>
    </row>
    <row r="49" spans="1:22" s="186" customFormat="1" x14ac:dyDescent="0.25">
      <c r="A49" s="1">
        <v>42309</v>
      </c>
      <c r="B49" s="84">
        <v>581</v>
      </c>
      <c r="C49" s="32">
        <v>300</v>
      </c>
      <c r="D49" s="39">
        <v>606</v>
      </c>
      <c r="E49" s="39">
        <v>497</v>
      </c>
      <c r="F49" s="39">
        <v>416</v>
      </c>
      <c r="H49" s="212">
        <f t="shared" si="3"/>
        <v>0.68646864686468645</v>
      </c>
      <c r="I49" s="187"/>
      <c r="P49" s="1">
        <v>42309</v>
      </c>
      <c r="Q49" s="84">
        <v>493</v>
      </c>
      <c r="R49" s="32">
        <v>300</v>
      </c>
      <c r="S49" s="39">
        <v>82</v>
      </c>
      <c r="T49" s="39">
        <v>434</v>
      </c>
      <c r="U49" s="39">
        <v>57</v>
      </c>
      <c r="V49" s="212">
        <f t="shared" si="1"/>
        <v>0.69512195121951215</v>
      </c>
    </row>
    <row r="50" spans="1:22" s="186" customFormat="1" x14ac:dyDescent="0.25">
      <c r="A50" s="1">
        <v>42339</v>
      </c>
      <c r="B50" s="84">
        <v>438</v>
      </c>
      <c r="C50" s="32">
        <v>300</v>
      </c>
      <c r="D50" s="39">
        <v>667</v>
      </c>
      <c r="E50" s="39">
        <v>302</v>
      </c>
      <c r="F50" s="39">
        <v>483</v>
      </c>
      <c r="H50" s="212">
        <f t="shared" si="3"/>
        <v>0.72413793103448276</v>
      </c>
      <c r="I50" s="187"/>
      <c r="P50" s="1">
        <v>42339</v>
      </c>
      <c r="Q50" s="84">
        <v>606</v>
      </c>
      <c r="R50" s="32">
        <v>300</v>
      </c>
      <c r="S50" s="39">
        <v>200</v>
      </c>
      <c r="T50" s="39">
        <v>301</v>
      </c>
      <c r="U50" s="39">
        <v>76</v>
      </c>
      <c r="V50" s="212">
        <f t="shared" si="1"/>
        <v>0.38</v>
      </c>
    </row>
    <row r="51" spans="1:22" s="186" customFormat="1" x14ac:dyDescent="0.25">
      <c r="A51" s="1">
        <v>42370</v>
      </c>
      <c r="B51" s="84">
        <v>799</v>
      </c>
      <c r="C51" s="32">
        <v>300</v>
      </c>
      <c r="D51" s="39">
        <v>276</v>
      </c>
      <c r="E51" s="39">
        <v>603</v>
      </c>
      <c r="F51" s="39">
        <v>54</v>
      </c>
      <c r="H51" s="212">
        <f t="shared" si="3"/>
        <v>0.19565217391304349</v>
      </c>
      <c r="I51" s="187"/>
      <c r="P51" s="1">
        <v>42370</v>
      </c>
      <c r="Q51" s="84">
        <v>672</v>
      </c>
      <c r="R51" s="32">
        <v>300</v>
      </c>
      <c r="S51" s="39">
        <v>166</v>
      </c>
      <c r="T51" s="39">
        <v>582</v>
      </c>
      <c r="U51" s="39">
        <v>53</v>
      </c>
      <c r="V51" s="212">
        <f t="shared" si="1"/>
        <v>0.31927710843373491</v>
      </c>
    </row>
    <row r="52" spans="1:22" s="186" customFormat="1" x14ac:dyDescent="0.25">
      <c r="A52" s="1">
        <v>42416</v>
      </c>
      <c r="B52" s="84">
        <v>652</v>
      </c>
      <c r="C52" s="32">
        <v>300</v>
      </c>
      <c r="D52" s="39">
        <v>333</v>
      </c>
      <c r="E52" s="39">
        <v>509</v>
      </c>
      <c r="F52" s="39">
        <v>119</v>
      </c>
      <c r="H52" s="212">
        <f t="shared" si="3"/>
        <v>0.35735735735735735</v>
      </c>
      <c r="I52" s="187"/>
      <c r="P52" s="1"/>
      <c r="Q52" s="84"/>
      <c r="R52" s="32"/>
      <c r="S52" s="39"/>
      <c r="T52" s="39"/>
      <c r="U52" s="39"/>
      <c r="V52" s="212"/>
    </row>
    <row r="53" spans="1:22" s="186" customFormat="1" x14ac:dyDescent="0.25">
      <c r="A53" s="1">
        <v>42430</v>
      </c>
      <c r="B53" s="84">
        <v>461</v>
      </c>
      <c r="C53" s="32">
        <v>300</v>
      </c>
      <c r="D53" s="39">
        <v>409</v>
      </c>
      <c r="E53" s="39">
        <v>589</v>
      </c>
      <c r="F53" s="39">
        <v>205</v>
      </c>
      <c r="G53" s="39">
        <v>4</v>
      </c>
      <c r="H53" s="212">
        <f t="shared" si="3"/>
        <v>0.5012224938875306</v>
      </c>
      <c r="I53" s="187"/>
      <c r="P53" s="1"/>
      <c r="Q53" s="84"/>
      <c r="R53" s="32"/>
      <c r="S53" s="39"/>
      <c r="T53" s="39"/>
      <c r="U53" s="39"/>
      <c r="V53" s="212"/>
    </row>
    <row r="54" spans="1:22" s="186" customFormat="1" x14ac:dyDescent="0.25">
      <c r="A54" s="1">
        <v>42461</v>
      </c>
      <c r="B54" s="84">
        <v>537</v>
      </c>
      <c r="C54" s="32">
        <v>300</v>
      </c>
      <c r="D54" s="39">
        <v>379</v>
      </c>
      <c r="E54" s="39">
        <v>409</v>
      </c>
      <c r="F54" s="39">
        <v>200</v>
      </c>
      <c r="G54" s="39">
        <v>5</v>
      </c>
      <c r="H54" s="212">
        <f t="shared" si="3"/>
        <v>0.52770448548812665</v>
      </c>
      <c r="I54" s="187"/>
      <c r="P54" s="1"/>
      <c r="Q54" s="84"/>
      <c r="R54" s="32"/>
      <c r="S54" s="39"/>
      <c r="T54" s="39"/>
      <c r="U54" s="39"/>
      <c r="V54" s="212"/>
    </row>
    <row r="55" spans="1:22" s="186" customFormat="1" x14ac:dyDescent="0.25">
      <c r="A55" s="1">
        <v>42491</v>
      </c>
      <c r="B55" s="84">
        <v>609</v>
      </c>
      <c r="C55" s="32">
        <v>300</v>
      </c>
      <c r="D55" s="39">
        <v>551</v>
      </c>
      <c r="E55" s="39">
        <v>414</v>
      </c>
      <c r="F55" s="39">
        <v>273</v>
      </c>
      <c r="G55" s="39">
        <v>7</v>
      </c>
      <c r="H55" s="212">
        <f t="shared" si="3"/>
        <v>0.49546279491833028</v>
      </c>
      <c r="I55" s="187"/>
      <c r="P55" s="1"/>
      <c r="Q55" s="84"/>
      <c r="R55" s="32"/>
      <c r="S55" s="39"/>
      <c r="T55" s="39"/>
      <c r="U55" s="39"/>
      <c r="V55" s="212"/>
    </row>
    <row r="56" spans="1:22" s="186" customFormat="1" x14ac:dyDescent="0.25">
      <c r="A56" s="1">
        <v>42522</v>
      </c>
      <c r="B56" s="84">
        <v>727</v>
      </c>
      <c r="C56" s="32">
        <v>300</v>
      </c>
      <c r="D56" s="39">
        <v>611</v>
      </c>
      <c r="E56" s="39">
        <v>596</v>
      </c>
      <c r="F56" s="39">
        <v>378</v>
      </c>
      <c r="G56" s="39">
        <v>9</v>
      </c>
      <c r="H56" s="212">
        <f t="shared" si="3"/>
        <v>0.61865793780687395</v>
      </c>
      <c r="I56" s="187"/>
      <c r="P56" s="1"/>
      <c r="Q56" s="84"/>
      <c r="R56" s="32"/>
      <c r="S56" s="39"/>
      <c r="T56" s="39"/>
      <c r="U56" s="39"/>
      <c r="V56" s="212"/>
    </row>
    <row r="57" spans="1:22" s="186" customFormat="1" x14ac:dyDescent="0.25">
      <c r="A57" s="1">
        <v>42552</v>
      </c>
      <c r="B57" s="84">
        <v>595</v>
      </c>
      <c r="C57" s="32">
        <v>300</v>
      </c>
      <c r="D57" s="39">
        <v>759</v>
      </c>
      <c r="E57" s="39">
        <v>387</v>
      </c>
      <c r="F57" s="39">
        <v>500</v>
      </c>
      <c r="G57" s="39">
        <v>8</v>
      </c>
      <c r="H57" s="212">
        <f t="shared" si="3"/>
        <v>0.65876152832674573</v>
      </c>
      <c r="I57" s="187"/>
      <c r="P57" s="1"/>
      <c r="Q57" s="84"/>
      <c r="R57" s="32"/>
      <c r="S57" s="39"/>
      <c r="T57" s="39"/>
      <c r="U57" s="39"/>
      <c r="V57" s="212"/>
    </row>
    <row r="58" spans="1:22" s="186" customFormat="1" x14ac:dyDescent="0.25">
      <c r="A58" s="1">
        <v>42583</v>
      </c>
      <c r="B58" s="84">
        <v>814</v>
      </c>
      <c r="C58" s="32">
        <v>300</v>
      </c>
      <c r="D58" s="39">
        <v>560</v>
      </c>
      <c r="E58" s="39">
        <v>660</v>
      </c>
      <c r="F58" s="39">
        <v>261</v>
      </c>
      <c r="G58" s="39">
        <v>7</v>
      </c>
      <c r="H58" s="212">
        <f t="shared" si="3"/>
        <v>0.46607142857142858</v>
      </c>
      <c r="I58" s="187"/>
      <c r="P58" s="1"/>
      <c r="Q58" s="84"/>
      <c r="R58" s="32"/>
      <c r="S58" s="39"/>
      <c r="T58" s="39"/>
      <c r="U58" s="39"/>
      <c r="V58" s="212"/>
    </row>
    <row r="59" spans="1:22" s="186" customFormat="1" x14ac:dyDescent="0.25">
      <c r="A59" s="1"/>
      <c r="B59" s="84"/>
      <c r="C59" s="32"/>
      <c r="D59" s="39"/>
      <c r="E59" s="39"/>
      <c r="F59" s="39"/>
      <c r="G59" s="212"/>
      <c r="H59" s="187"/>
      <c r="I59" s="187"/>
    </row>
    <row r="60" spans="1:22" ht="45.6" customHeight="1" x14ac:dyDescent="0.25">
      <c r="A60" s="9" t="s">
        <v>57</v>
      </c>
      <c r="B60" s="10" t="s">
        <v>2</v>
      </c>
      <c r="C60" s="78" t="s">
        <v>41</v>
      </c>
      <c r="D60" s="78" t="s">
        <v>42</v>
      </c>
      <c r="E60" s="10" t="s">
        <v>3</v>
      </c>
      <c r="F60" s="46" t="s">
        <v>41</v>
      </c>
      <c r="G60" s="46" t="s">
        <v>42</v>
      </c>
      <c r="H60" s="10" t="s">
        <v>4</v>
      </c>
      <c r="I60" s="46" t="s">
        <v>41</v>
      </c>
      <c r="J60" s="46" t="s">
        <v>42</v>
      </c>
      <c r="K60" s="10" t="s">
        <v>5</v>
      </c>
      <c r="L60" s="46" t="s">
        <v>41</v>
      </c>
      <c r="M60" s="46" t="s">
        <v>42</v>
      </c>
      <c r="N60" s="10" t="s">
        <v>6</v>
      </c>
      <c r="O60" s="46" t="s">
        <v>41</v>
      </c>
      <c r="P60" s="46" t="s">
        <v>42</v>
      </c>
      <c r="Q60" s="10" t="s">
        <v>7</v>
      </c>
      <c r="R60" s="46" t="s">
        <v>175</v>
      </c>
    </row>
    <row r="61" spans="1:22" hidden="1" x14ac:dyDescent="0.25">
      <c r="A61" s="12">
        <v>40817</v>
      </c>
      <c r="B61" s="7">
        <v>0.9</v>
      </c>
      <c r="C61" s="79" t="s">
        <v>44</v>
      </c>
      <c r="D61" s="79" t="s">
        <v>43</v>
      </c>
      <c r="E61" s="7">
        <f t="shared" ref="E61:E119" si="4">D61/C61</f>
        <v>0.82363977485928708</v>
      </c>
      <c r="F61" s="43"/>
      <c r="G61" s="43"/>
      <c r="H61" s="7">
        <v>0.79</v>
      </c>
      <c r="I61" s="43"/>
      <c r="J61" s="43"/>
      <c r="K61" s="7">
        <v>0.77</v>
      </c>
      <c r="L61" s="43"/>
      <c r="M61" s="43"/>
      <c r="N61" s="7">
        <v>0.87</v>
      </c>
      <c r="O61" s="45"/>
      <c r="P61" s="45"/>
      <c r="Q61" s="7">
        <v>0.76</v>
      </c>
    </row>
    <row r="62" spans="1:22" hidden="1" x14ac:dyDescent="0.25">
      <c r="A62" s="12">
        <v>40848</v>
      </c>
      <c r="B62" s="7">
        <v>0.9</v>
      </c>
      <c r="C62" s="79" t="s">
        <v>47</v>
      </c>
      <c r="D62" s="79" t="s">
        <v>45</v>
      </c>
      <c r="E62" s="7">
        <f t="shared" si="4"/>
        <v>0.92011834319526631</v>
      </c>
      <c r="F62" s="43"/>
      <c r="G62" s="43"/>
      <c r="H62" s="7">
        <v>0.77</v>
      </c>
      <c r="I62" s="43"/>
      <c r="J62" s="43"/>
      <c r="K62" s="7">
        <v>0.88</v>
      </c>
      <c r="L62" s="43"/>
      <c r="M62" s="43"/>
      <c r="N62" s="7">
        <v>0.95</v>
      </c>
      <c r="O62" s="45"/>
      <c r="P62" s="45"/>
      <c r="Q62" s="7">
        <v>0.94</v>
      </c>
    </row>
    <row r="63" spans="1:22" hidden="1" x14ac:dyDescent="0.25">
      <c r="A63" s="12">
        <v>40878</v>
      </c>
      <c r="B63" s="7">
        <v>0.9</v>
      </c>
      <c r="C63" s="79" t="s">
        <v>48</v>
      </c>
      <c r="D63" s="79" t="s">
        <v>46</v>
      </c>
      <c r="E63" s="7">
        <f t="shared" si="4"/>
        <v>0.87418086500655312</v>
      </c>
      <c r="F63" s="43"/>
      <c r="G63" s="43"/>
      <c r="H63" s="7">
        <v>0.94</v>
      </c>
      <c r="I63" s="43"/>
      <c r="J63" s="43"/>
      <c r="K63" s="7">
        <v>0.82</v>
      </c>
      <c r="L63" s="43"/>
      <c r="M63" s="43"/>
      <c r="N63" s="7">
        <v>0.91</v>
      </c>
      <c r="O63" s="45"/>
      <c r="P63" s="45"/>
      <c r="Q63" s="7">
        <v>0.87</v>
      </c>
    </row>
    <row r="64" spans="1:22" hidden="1" x14ac:dyDescent="0.25">
      <c r="A64" s="12">
        <v>40909</v>
      </c>
      <c r="B64" s="7">
        <v>0.9</v>
      </c>
      <c r="C64" s="79" t="s">
        <v>50</v>
      </c>
      <c r="D64" s="79" t="s">
        <v>49</v>
      </c>
      <c r="E64" s="7">
        <f t="shared" si="4"/>
        <v>0.74938271604938267</v>
      </c>
      <c r="F64" s="43"/>
      <c r="G64" s="43"/>
      <c r="H64" s="7">
        <v>0.92</v>
      </c>
      <c r="I64" s="43"/>
      <c r="J64" s="43"/>
      <c r="K64" s="7">
        <v>0.82</v>
      </c>
      <c r="L64" s="43"/>
      <c r="M64" s="43"/>
      <c r="N64" s="7">
        <v>0.73</v>
      </c>
      <c r="O64" s="45"/>
      <c r="P64" s="45"/>
      <c r="Q64" s="7">
        <v>0.7</v>
      </c>
    </row>
    <row r="65" spans="1:21" hidden="1" x14ac:dyDescent="0.25">
      <c r="A65" s="12">
        <v>40940</v>
      </c>
      <c r="B65" s="7">
        <v>0.9</v>
      </c>
      <c r="C65" s="79" t="s">
        <v>52</v>
      </c>
      <c r="D65" s="79" t="s">
        <v>51</v>
      </c>
      <c r="E65" s="7">
        <f t="shared" si="4"/>
        <v>0.94499294781382226</v>
      </c>
      <c r="F65" s="43"/>
      <c r="G65" s="43"/>
      <c r="H65" s="7">
        <v>0.96</v>
      </c>
      <c r="I65" s="43"/>
      <c r="J65" s="43"/>
      <c r="K65" s="7">
        <v>0.92</v>
      </c>
      <c r="L65" s="43"/>
      <c r="M65" s="43"/>
      <c r="N65" s="7">
        <v>0.97</v>
      </c>
      <c r="O65" s="45"/>
      <c r="P65" s="45"/>
      <c r="Q65" s="7">
        <v>0.92</v>
      </c>
    </row>
    <row r="66" spans="1:21" hidden="1" x14ac:dyDescent="0.25">
      <c r="A66" s="12">
        <v>40969</v>
      </c>
      <c r="B66" s="7">
        <v>0.9</v>
      </c>
      <c r="C66" s="79" t="s">
        <v>54</v>
      </c>
      <c r="D66" s="79" t="s">
        <v>53</v>
      </c>
      <c r="E66" s="7">
        <f t="shared" si="4"/>
        <v>0.97072072072072069</v>
      </c>
      <c r="F66" s="43" t="s">
        <v>58</v>
      </c>
      <c r="G66" s="43" t="s">
        <v>58</v>
      </c>
      <c r="H66" s="7">
        <f t="shared" ref="H66:H77" si="5">G66/F66</f>
        <v>1</v>
      </c>
      <c r="I66" s="43" t="s">
        <v>64</v>
      </c>
      <c r="J66" s="43" t="s">
        <v>61</v>
      </c>
      <c r="K66" s="7">
        <f t="shared" ref="K66:K77" si="6">J66/I66</f>
        <v>0.96575342465753422</v>
      </c>
      <c r="L66" s="43" t="s">
        <v>67</v>
      </c>
      <c r="M66" s="43" t="s">
        <v>65</v>
      </c>
      <c r="N66" s="7">
        <f t="shared" ref="N66:N77" si="7">M66/L66</f>
        <v>0.98364485981308414</v>
      </c>
      <c r="O66" s="48" t="s">
        <v>72</v>
      </c>
      <c r="P66" s="48" t="s">
        <v>69</v>
      </c>
      <c r="Q66" s="7">
        <f t="shared" ref="Q66:Q77" si="8">P66/O66</f>
        <v>0.93661971830985913</v>
      </c>
    </row>
    <row r="67" spans="1:21" hidden="1" x14ac:dyDescent="0.25">
      <c r="A67" s="12">
        <v>41000</v>
      </c>
      <c r="B67" s="7">
        <v>0.9</v>
      </c>
      <c r="C67" s="79" t="s">
        <v>56</v>
      </c>
      <c r="D67" s="79" t="s">
        <v>55</v>
      </c>
      <c r="E67" s="7">
        <f t="shared" si="4"/>
        <v>0.81805157593123212</v>
      </c>
      <c r="F67" s="43" t="s">
        <v>60</v>
      </c>
      <c r="G67" s="43" t="s">
        <v>59</v>
      </c>
      <c r="H67" s="7">
        <f t="shared" si="5"/>
        <v>0.7857142857142857</v>
      </c>
      <c r="I67" s="43" t="s">
        <v>63</v>
      </c>
      <c r="J67" s="43" t="s">
        <v>62</v>
      </c>
      <c r="K67" s="7">
        <f t="shared" si="6"/>
        <v>0.81818181818181823</v>
      </c>
      <c r="L67" s="43" t="s">
        <v>68</v>
      </c>
      <c r="M67" s="43" t="s">
        <v>66</v>
      </c>
      <c r="N67" s="7">
        <f t="shared" si="7"/>
        <v>0.81144781144781142</v>
      </c>
      <c r="O67" s="48" t="s">
        <v>71</v>
      </c>
      <c r="P67" s="48" t="s">
        <v>70</v>
      </c>
      <c r="Q67" s="7">
        <f t="shared" si="8"/>
        <v>0.8314606741573034</v>
      </c>
    </row>
    <row r="68" spans="1:21" hidden="1" x14ac:dyDescent="0.25">
      <c r="A68" s="12">
        <v>41030</v>
      </c>
      <c r="B68" s="7">
        <v>0.9</v>
      </c>
      <c r="C68" s="79">
        <v>678</v>
      </c>
      <c r="D68" s="79">
        <v>638</v>
      </c>
      <c r="E68" s="7">
        <f t="shared" si="4"/>
        <v>0.94100294985250732</v>
      </c>
      <c r="F68" s="52">
        <v>11</v>
      </c>
      <c r="G68" s="52">
        <v>10</v>
      </c>
      <c r="H68" s="7">
        <f t="shared" si="5"/>
        <v>0.90909090909090906</v>
      </c>
      <c r="I68" s="52">
        <v>180</v>
      </c>
      <c r="J68" s="52">
        <v>167</v>
      </c>
      <c r="K68" s="7">
        <f t="shared" si="6"/>
        <v>0.92777777777777781</v>
      </c>
      <c r="L68" s="52">
        <v>343</v>
      </c>
      <c r="M68" s="52">
        <v>331</v>
      </c>
      <c r="N68" s="7">
        <f t="shared" si="7"/>
        <v>0.96501457725947526</v>
      </c>
      <c r="O68" s="53">
        <v>144</v>
      </c>
      <c r="P68" s="53">
        <v>131</v>
      </c>
      <c r="Q68" s="7">
        <f t="shared" si="8"/>
        <v>0.90972222222222221</v>
      </c>
    </row>
    <row r="69" spans="1:21" hidden="1" x14ac:dyDescent="0.25">
      <c r="A69" s="12">
        <v>41061</v>
      </c>
      <c r="B69" s="7">
        <v>0.9</v>
      </c>
      <c r="C69" s="79" t="s">
        <v>180</v>
      </c>
      <c r="D69" s="79" t="s">
        <v>179</v>
      </c>
      <c r="E69" s="7">
        <f t="shared" si="4"/>
        <v>0.95604395604395609</v>
      </c>
      <c r="F69" s="52" t="s">
        <v>181</v>
      </c>
      <c r="G69" s="52" t="s">
        <v>160</v>
      </c>
      <c r="H69" s="7">
        <f t="shared" si="5"/>
        <v>0.9375</v>
      </c>
      <c r="I69" s="43" t="s">
        <v>182</v>
      </c>
      <c r="J69" s="43" t="s">
        <v>183</v>
      </c>
      <c r="K69" s="7">
        <f t="shared" si="6"/>
        <v>0.92655367231638419</v>
      </c>
      <c r="L69" s="43" t="s">
        <v>184</v>
      </c>
      <c r="M69" s="43" t="s">
        <v>185</v>
      </c>
      <c r="N69" s="7">
        <f t="shared" si="7"/>
        <v>0.97338403041825095</v>
      </c>
      <c r="O69" s="48" t="s">
        <v>187</v>
      </c>
      <c r="P69" s="48" t="s">
        <v>186</v>
      </c>
      <c r="Q69" s="7">
        <f t="shared" si="8"/>
        <v>0.96666666666666667</v>
      </c>
      <c r="R69" s="27">
        <v>16</v>
      </c>
      <c r="U69" s="80"/>
    </row>
    <row r="70" spans="1:21" hidden="1" x14ac:dyDescent="0.25">
      <c r="A70" s="12">
        <v>41091</v>
      </c>
      <c r="B70" s="7">
        <v>0.9</v>
      </c>
      <c r="C70" s="79">
        <f>F70+I70+L70+O70</f>
        <v>722</v>
      </c>
      <c r="D70" s="79">
        <f>G70+J70+M70+P70</f>
        <v>482</v>
      </c>
      <c r="E70" s="7">
        <f t="shared" si="4"/>
        <v>0.66759002770083098</v>
      </c>
      <c r="F70" s="52" t="s">
        <v>188</v>
      </c>
      <c r="G70" s="52" t="s">
        <v>181</v>
      </c>
      <c r="H70" s="7">
        <f t="shared" si="5"/>
        <v>0.69565217391304346</v>
      </c>
      <c r="I70" s="43" t="s">
        <v>189</v>
      </c>
      <c r="J70" s="43" t="s">
        <v>190</v>
      </c>
      <c r="K70" s="7">
        <f t="shared" si="6"/>
        <v>0.63389830508474576</v>
      </c>
      <c r="L70" s="43" t="s">
        <v>191</v>
      </c>
      <c r="M70" s="43" t="s">
        <v>192</v>
      </c>
      <c r="N70" s="7">
        <f t="shared" si="7"/>
        <v>0.79487179487179482</v>
      </c>
      <c r="O70" s="48" t="s">
        <v>193</v>
      </c>
      <c r="P70" s="48" t="s">
        <v>194</v>
      </c>
      <c r="Q70" s="7">
        <f t="shared" si="8"/>
        <v>0.33695652173913043</v>
      </c>
      <c r="R70" s="27">
        <v>61</v>
      </c>
      <c r="U70" s="80"/>
    </row>
    <row r="71" spans="1:21" hidden="1" x14ac:dyDescent="0.25">
      <c r="A71" s="12">
        <v>41122</v>
      </c>
      <c r="B71" s="7">
        <v>0.9</v>
      </c>
      <c r="C71" s="79">
        <v>537</v>
      </c>
      <c r="D71" s="79">
        <v>491</v>
      </c>
      <c r="E71" s="7">
        <f t="shared" si="4"/>
        <v>0.91433891992551208</v>
      </c>
      <c r="F71" s="43" t="s">
        <v>181</v>
      </c>
      <c r="G71" s="43" t="s">
        <v>60</v>
      </c>
      <c r="H71" s="7">
        <f t="shared" si="5"/>
        <v>0.875</v>
      </c>
      <c r="I71" s="43" t="s">
        <v>205</v>
      </c>
      <c r="J71" s="43" t="s">
        <v>206</v>
      </c>
      <c r="K71" s="7">
        <f t="shared" si="6"/>
        <v>0.91847826086956519</v>
      </c>
      <c r="L71" s="43" t="s">
        <v>207</v>
      </c>
      <c r="M71" s="43" t="s">
        <v>208</v>
      </c>
      <c r="N71" s="7">
        <f t="shared" si="7"/>
        <v>0.9263565891472868</v>
      </c>
      <c r="O71" s="48" t="s">
        <v>209</v>
      </c>
      <c r="P71" s="48" t="s">
        <v>210</v>
      </c>
      <c r="Q71" s="7">
        <f t="shared" si="8"/>
        <v>0.87341772151898733</v>
      </c>
      <c r="R71" s="27">
        <v>12</v>
      </c>
    </row>
    <row r="72" spans="1:21" hidden="1" x14ac:dyDescent="0.25">
      <c r="A72" s="12">
        <v>41153</v>
      </c>
      <c r="B72" s="7">
        <v>0.9</v>
      </c>
      <c r="C72" s="44" t="s">
        <v>231</v>
      </c>
      <c r="D72" s="44" t="s">
        <v>230</v>
      </c>
      <c r="E72" s="7">
        <f t="shared" si="4"/>
        <v>0.93304221251819508</v>
      </c>
      <c r="F72" s="44" t="s">
        <v>159</v>
      </c>
      <c r="G72" s="44" t="s">
        <v>159</v>
      </c>
      <c r="H72" s="7">
        <f t="shared" si="5"/>
        <v>1</v>
      </c>
      <c r="I72" s="44" t="s">
        <v>232</v>
      </c>
      <c r="J72" s="44" t="s">
        <v>195</v>
      </c>
      <c r="K72" s="7">
        <f t="shared" si="6"/>
        <v>0.83425414364640882</v>
      </c>
      <c r="L72" s="44" t="s">
        <v>233</v>
      </c>
      <c r="M72" s="44" t="s">
        <v>234</v>
      </c>
      <c r="N72" s="7">
        <f t="shared" si="7"/>
        <v>0.96656534954407292</v>
      </c>
      <c r="O72" s="48" t="s">
        <v>128</v>
      </c>
      <c r="P72" s="48" t="s">
        <v>235</v>
      </c>
      <c r="Q72" s="7">
        <f t="shared" si="8"/>
        <v>0.96969696969696972</v>
      </c>
      <c r="R72" s="27">
        <v>14</v>
      </c>
    </row>
    <row r="73" spans="1:21" hidden="1" x14ac:dyDescent="0.25">
      <c r="A73" s="12">
        <v>41183</v>
      </c>
      <c r="B73" s="7">
        <v>0.9</v>
      </c>
      <c r="C73" s="44" t="s">
        <v>247</v>
      </c>
      <c r="D73" s="44" t="s">
        <v>246</v>
      </c>
      <c r="E73" s="7">
        <f t="shared" si="4"/>
        <v>0.96423248882265278</v>
      </c>
      <c r="F73" s="44" t="s">
        <v>60</v>
      </c>
      <c r="G73" s="44" t="s">
        <v>248</v>
      </c>
      <c r="H73" s="7">
        <f t="shared" si="5"/>
        <v>0.9285714285714286</v>
      </c>
      <c r="I73" s="44" t="s">
        <v>249</v>
      </c>
      <c r="J73" s="44" t="s">
        <v>250</v>
      </c>
      <c r="K73" s="7">
        <f t="shared" si="6"/>
        <v>0.93665158371040724</v>
      </c>
      <c r="L73" s="44" t="s">
        <v>251</v>
      </c>
      <c r="M73" s="44" t="s">
        <v>252</v>
      </c>
      <c r="N73" s="7">
        <f t="shared" si="7"/>
        <v>0.98820058997050142</v>
      </c>
      <c r="O73" s="48" t="s">
        <v>253</v>
      </c>
      <c r="P73" s="48" t="s">
        <v>254</v>
      </c>
      <c r="Q73" s="7">
        <f t="shared" si="8"/>
        <v>0.96907216494845361</v>
      </c>
      <c r="R73" s="27">
        <v>4</v>
      </c>
    </row>
    <row r="74" spans="1:21" hidden="1" x14ac:dyDescent="0.25">
      <c r="A74" s="12">
        <v>41214</v>
      </c>
      <c r="B74" s="7">
        <v>0.9</v>
      </c>
      <c r="C74" s="44" t="s">
        <v>265</v>
      </c>
      <c r="D74" s="44" t="s">
        <v>264</v>
      </c>
      <c r="E74" s="7">
        <f t="shared" si="4"/>
        <v>0.94728682170542633</v>
      </c>
      <c r="F74" s="44" t="s">
        <v>218</v>
      </c>
      <c r="G74" s="44" t="s">
        <v>196</v>
      </c>
      <c r="H74" s="7">
        <f t="shared" si="5"/>
        <v>0.91666666666666663</v>
      </c>
      <c r="I74" s="44" t="s">
        <v>119</v>
      </c>
      <c r="J74" s="44" t="s">
        <v>229</v>
      </c>
      <c r="K74" s="7">
        <f t="shared" si="6"/>
        <v>0.88372093023255816</v>
      </c>
      <c r="L74" s="44" t="s">
        <v>242</v>
      </c>
      <c r="M74" s="44" t="s">
        <v>266</v>
      </c>
      <c r="N74" s="7">
        <f t="shared" si="7"/>
        <v>0.97878787878787876</v>
      </c>
      <c r="O74" s="48" t="s">
        <v>267</v>
      </c>
      <c r="P74" s="48" t="s">
        <v>115</v>
      </c>
      <c r="Q74" s="7">
        <f t="shared" si="8"/>
        <v>0.89915966386554624</v>
      </c>
      <c r="R74" s="27">
        <v>7</v>
      </c>
    </row>
    <row r="75" spans="1:21" hidden="1" x14ac:dyDescent="0.25">
      <c r="A75" s="12">
        <v>41244</v>
      </c>
      <c r="B75" s="7">
        <v>0.9</v>
      </c>
      <c r="C75" s="104">
        <v>435</v>
      </c>
      <c r="D75" s="104">
        <v>399</v>
      </c>
      <c r="E75" s="7">
        <f t="shared" si="4"/>
        <v>0.91724137931034477</v>
      </c>
      <c r="F75" s="104">
        <v>10</v>
      </c>
      <c r="G75" s="104">
        <v>8</v>
      </c>
      <c r="H75" s="7">
        <f t="shared" si="5"/>
        <v>0.8</v>
      </c>
      <c r="I75" s="104">
        <v>177</v>
      </c>
      <c r="J75" s="104">
        <v>160</v>
      </c>
      <c r="K75" s="7">
        <f t="shared" si="6"/>
        <v>0.903954802259887</v>
      </c>
      <c r="L75" s="104">
        <v>167</v>
      </c>
      <c r="M75" s="104">
        <v>158</v>
      </c>
      <c r="N75" s="7">
        <f t="shared" si="7"/>
        <v>0.94610778443113774</v>
      </c>
      <c r="O75" s="53">
        <v>81</v>
      </c>
      <c r="P75" s="53">
        <v>73</v>
      </c>
      <c r="Q75" s="7">
        <f t="shared" si="8"/>
        <v>0.90123456790123457</v>
      </c>
      <c r="R75" s="27">
        <v>4</v>
      </c>
    </row>
    <row r="76" spans="1:21" hidden="1" x14ac:dyDescent="0.25">
      <c r="A76" s="12">
        <v>41275</v>
      </c>
      <c r="B76" s="7">
        <v>0.9</v>
      </c>
      <c r="C76" s="104">
        <v>676</v>
      </c>
      <c r="D76" s="104">
        <v>630</v>
      </c>
      <c r="E76" s="7">
        <f t="shared" si="4"/>
        <v>0.93195266272189348</v>
      </c>
      <c r="F76" s="104">
        <v>16</v>
      </c>
      <c r="G76" s="104">
        <v>14</v>
      </c>
      <c r="H76" s="7">
        <f t="shared" si="5"/>
        <v>0.875</v>
      </c>
      <c r="I76" s="104">
        <v>163</v>
      </c>
      <c r="J76" s="104">
        <v>152</v>
      </c>
      <c r="K76" s="7">
        <f t="shared" si="6"/>
        <v>0.93251533742331283</v>
      </c>
      <c r="L76" s="104">
        <v>355</v>
      </c>
      <c r="M76" s="104">
        <v>342</v>
      </c>
      <c r="N76" s="7">
        <f t="shared" si="7"/>
        <v>0.96338028169014089</v>
      </c>
      <c r="O76" s="53">
        <v>142</v>
      </c>
      <c r="P76" s="53">
        <v>122</v>
      </c>
      <c r="Q76" s="7">
        <f t="shared" si="8"/>
        <v>0.85915492957746475</v>
      </c>
      <c r="R76" s="27">
        <v>2</v>
      </c>
    </row>
    <row r="77" spans="1:21" hidden="1" x14ac:dyDescent="0.25">
      <c r="A77" s="12">
        <v>41306</v>
      </c>
      <c r="B77" s="7">
        <v>0.9</v>
      </c>
      <c r="C77" s="44" t="s">
        <v>322</v>
      </c>
      <c r="D77" s="44" t="s">
        <v>323</v>
      </c>
      <c r="E77" s="7">
        <f t="shared" si="4"/>
        <v>0.93029490616621979</v>
      </c>
      <c r="F77" s="44" t="s">
        <v>75</v>
      </c>
      <c r="G77" s="44" t="s">
        <v>75</v>
      </c>
      <c r="H77" s="7">
        <f t="shared" si="5"/>
        <v>1</v>
      </c>
      <c r="I77" s="44" t="s">
        <v>126</v>
      </c>
      <c r="J77" s="44" t="s">
        <v>254</v>
      </c>
      <c r="K77" s="7">
        <f t="shared" si="6"/>
        <v>0.9494949494949495</v>
      </c>
      <c r="L77" s="44" t="s">
        <v>244</v>
      </c>
      <c r="M77" s="44" t="s">
        <v>324</v>
      </c>
      <c r="N77" s="7">
        <f t="shared" si="7"/>
        <v>0.9337349397590361</v>
      </c>
      <c r="O77" s="48" t="s">
        <v>92</v>
      </c>
      <c r="P77" s="48" t="s">
        <v>325</v>
      </c>
      <c r="Q77" s="7">
        <f t="shared" si="8"/>
        <v>0.90291262135922334</v>
      </c>
      <c r="R77" s="27">
        <v>1</v>
      </c>
    </row>
    <row r="78" spans="1:21" hidden="1" x14ac:dyDescent="0.25">
      <c r="A78" s="12">
        <v>41334</v>
      </c>
      <c r="B78" s="7">
        <v>0.9</v>
      </c>
      <c r="C78" s="44" t="s">
        <v>340</v>
      </c>
      <c r="D78" s="44" t="s">
        <v>339</v>
      </c>
      <c r="E78" s="7">
        <f t="shared" si="4"/>
        <v>0.87759336099585061</v>
      </c>
      <c r="F78" s="44" t="s">
        <v>157</v>
      </c>
      <c r="G78" s="44" t="s">
        <v>157</v>
      </c>
      <c r="H78" s="7">
        <f t="shared" ref="H78:H119" si="9">G78/F78</f>
        <v>1</v>
      </c>
      <c r="I78" s="44" t="s">
        <v>129</v>
      </c>
      <c r="J78" s="44" t="s">
        <v>341</v>
      </c>
      <c r="K78" s="7">
        <f t="shared" ref="K78:K119" si="10">J78/I78</f>
        <v>0.9178082191780822</v>
      </c>
      <c r="L78" s="44" t="s">
        <v>342</v>
      </c>
      <c r="M78" s="44" t="s">
        <v>343</v>
      </c>
      <c r="N78" s="7">
        <f t="shared" ref="N78:N119" si="11">M78/L78</f>
        <v>0.88979591836734695</v>
      </c>
      <c r="O78" s="48" t="s">
        <v>221</v>
      </c>
      <c r="P78" s="48" t="s">
        <v>344</v>
      </c>
      <c r="Q78" s="7">
        <f t="shared" ref="Q78:Q119" si="12">P78/O78</f>
        <v>0.76470588235294112</v>
      </c>
      <c r="R78" s="27">
        <v>22</v>
      </c>
    </row>
    <row r="79" spans="1:21" hidden="1" x14ac:dyDescent="0.25">
      <c r="A79" s="12">
        <v>41365</v>
      </c>
      <c r="B79" s="7">
        <v>0.9</v>
      </c>
      <c r="C79" s="44" t="s">
        <v>355</v>
      </c>
      <c r="D79" s="44" t="s">
        <v>356</v>
      </c>
      <c r="E79" s="7">
        <f t="shared" si="4"/>
        <v>0.87668161434977576</v>
      </c>
      <c r="F79" s="44" t="s">
        <v>59</v>
      </c>
      <c r="G79" s="44" t="s">
        <v>73</v>
      </c>
      <c r="H79" s="7">
        <f t="shared" si="9"/>
        <v>0.90909090909090906</v>
      </c>
      <c r="I79" s="44" t="s">
        <v>267</v>
      </c>
      <c r="J79" s="44" t="s">
        <v>293</v>
      </c>
      <c r="K79" s="7">
        <f t="shared" si="10"/>
        <v>0.87394957983193278</v>
      </c>
      <c r="L79" s="44" t="s">
        <v>328</v>
      </c>
      <c r="M79" s="44" t="s">
        <v>226</v>
      </c>
      <c r="N79" s="7">
        <f t="shared" si="11"/>
        <v>0.94708994708994709</v>
      </c>
      <c r="O79" s="48" t="s">
        <v>357</v>
      </c>
      <c r="P79" s="48" t="s">
        <v>78</v>
      </c>
      <c r="Q79" s="7">
        <f t="shared" si="12"/>
        <v>0.77165354330708658</v>
      </c>
      <c r="R79" s="27">
        <v>9</v>
      </c>
    </row>
    <row r="80" spans="1:21" hidden="1" x14ac:dyDescent="0.25">
      <c r="A80" s="12">
        <v>41395</v>
      </c>
      <c r="B80" s="7">
        <v>0.9</v>
      </c>
      <c r="C80" s="44" t="s">
        <v>365</v>
      </c>
      <c r="D80" s="44" t="s">
        <v>366</v>
      </c>
      <c r="E80" s="7">
        <f t="shared" si="4"/>
        <v>0.93052631578947365</v>
      </c>
      <c r="F80" s="44" t="s">
        <v>224</v>
      </c>
      <c r="G80" s="44" t="s">
        <v>224</v>
      </c>
      <c r="H80" s="7">
        <f t="shared" si="9"/>
        <v>1</v>
      </c>
      <c r="I80" s="44" t="s">
        <v>367</v>
      </c>
      <c r="J80" s="44" t="s">
        <v>368</v>
      </c>
      <c r="K80" s="7">
        <f t="shared" si="10"/>
        <v>0.85263157894736841</v>
      </c>
      <c r="L80" s="44" t="s">
        <v>369</v>
      </c>
      <c r="M80" s="44" t="s">
        <v>222</v>
      </c>
      <c r="N80" s="7">
        <f t="shared" si="11"/>
        <v>0.96280991735537191</v>
      </c>
      <c r="O80" s="48" t="s">
        <v>370</v>
      </c>
      <c r="P80" s="48" t="s">
        <v>267</v>
      </c>
      <c r="Q80" s="7">
        <f t="shared" si="12"/>
        <v>0.92248062015503873</v>
      </c>
      <c r="R80" s="27">
        <v>1</v>
      </c>
    </row>
    <row r="81" spans="1:18" hidden="1" x14ac:dyDescent="0.25">
      <c r="A81" s="12">
        <v>41426</v>
      </c>
      <c r="B81" s="7">
        <v>0.9</v>
      </c>
      <c r="C81" s="44" t="s">
        <v>377</v>
      </c>
      <c r="D81" s="44" t="s">
        <v>378</v>
      </c>
      <c r="E81" s="7">
        <f t="shared" si="4"/>
        <v>0.89181286549707606</v>
      </c>
      <c r="F81" s="44" t="s">
        <v>227</v>
      </c>
      <c r="G81" s="44" t="s">
        <v>291</v>
      </c>
      <c r="H81" s="7">
        <f t="shared" si="9"/>
        <v>0.95238095238095233</v>
      </c>
      <c r="I81" s="44" t="s">
        <v>379</v>
      </c>
      <c r="J81" s="44" t="s">
        <v>380</v>
      </c>
      <c r="K81" s="7">
        <f t="shared" si="10"/>
        <v>0.84375</v>
      </c>
      <c r="L81" s="44" t="s">
        <v>70</v>
      </c>
      <c r="M81" s="44" t="s">
        <v>381</v>
      </c>
      <c r="N81" s="7">
        <f t="shared" si="11"/>
        <v>0.94594594594594594</v>
      </c>
      <c r="O81" s="48" t="s">
        <v>382</v>
      </c>
      <c r="P81" s="48" t="s">
        <v>123</v>
      </c>
      <c r="Q81" s="7">
        <f t="shared" si="12"/>
        <v>0.83486238532110091</v>
      </c>
      <c r="R81" s="27">
        <v>1</v>
      </c>
    </row>
    <row r="82" spans="1:18" hidden="1" x14ac:dyDescent="0.25">
      <c r="A82" s="12">
        <v>41456</v>
      </c>
      <c r="B82" s="7">
        <v>0.9</v>
      </c>
      <c r="C82" s="27">
        <v>559</v>
      </c>
      <c r="D82" s="27">
        <v>467</v>
      </c>
      <c r="E82" s="7">
        <f t="shared" si="4"/>
        <v>0.83542039355992848</v>
      </c>
      <c r="F82" s="27">
        <v>12</v>
      </c>
      <c r="G82" s="27">
        <v>11</v>
      </c>
      <c r="H82" s="7">
        <f t="shared" si="9"/>
        <v>0.91666666666666663</v>
      </c>
      <c r="I82" s="27">
        <v>150</v>
      </c>
      <c r="J82" s="27">
        <v>129</v>
      </c>
      <c r="K82" s="7">
        <f t="shared" si="10"/>
        <v>0.86</v>
      </c>
      <c r="L82" s="27">
        <v>250</v>
      </c>
      <c r="M82" s="27">
        <v>232</v>
      </c>
      <c r="N82" s="7">
        <f t="shared" si="11"/>
        <v>0.92800000000000005</v>
      </c>
      <c r="O82" s="27">
        <v>147</v>
      </c>
      <c r="P82" s="27">
        <v>95</v>
      </c>
      <c r="Q82" s="7">
        <f t="shared" si="12"/>
        <v>0.6462585034013606</v>
      </c>
      <c r="R82" s="27">
        <v>4</v>
      </c>
    </row>
    <row r="83" spans="1:18" hidden="1" x14ac:dyDescent="0.25">
      <c r="A83" s="12">
        <v>41487</v>
      </c>
      <c r="B83" s="7">
        <v>0.9</v>
      </c>
      <c r="C83" s="27">
        <v>307</v>
      </c>
      <c r="D83" s="27">
        <v>286</v>
      </c>
      <c r="E83" s="7">
        <f t="shared" si="4"/>
        <v>0.9315960912052117</v>
      </c>
      <c r="F83" s="27">
        <v>20</v>
      </c>
      <c r="G83" s="27">
        <v>20</v>
      </c>
      <c r="H83" s="7">
        <f t="shared" si="9"/>
        <v>1</v>
      </c>
      <c r="I83" s="27">
        <v>84</v>
      </c>
      <c r="J83" s="27">
        <v>76</v>
      </c>
      <c r="K83" s="7">
        <f t="shared" si="10"/>
        <v>0.90476190476190477</v>
      </c>
      <c r="L83" s="27">
        <v>135</v>
      </c>
      <c r="M83" s="27">
        <v>127</v>
      </c>
      <c r="N83" s="7">
        <f t="shared" si="11"/>
        <v>0.94074074074074077</v>
      </c>
      <c r="O83" s="27">
        <v>68</v>
      </c>
      <c r="P83" s="27">
        <v>63</v>
      </c>
      <c r="Q83" s="7">
        <f t="shared" si="12"/>
        <v>0.92647058823529416</v>
      </c>
      <c r="R83" s="27">
        <v>2</v>
      </c>
    </row>
    <row r="84" spans="1:18" hidden="1" x14ac:dyDescent="0.25">
      <c r="A84" s="12">
        <v>41518</v>
      </c>
      <c r="B84" s="7">
        <v>0.9</v>
      </c>
      <c r="C84" s="27">
        <v>404</v>
      </c>
      <c r="D84" s="27">
        <v>350</v>
      </c>
      <c r="E84" s="7">
        <f t="shared" si="4"/>
        <v>0.86633663366336633</v>
      </c>
      <c r="F84" s="27">
        <v>18</v>
      </c>
      <c r="G84" s="27">
        <v>16</v>
      </c>
      <c r="H84" s="7">
        <f t="shared" si="9"/>
        <v>0.88888888888888884</v>
      </c>
      <c r="I84" s="27">
        <v>114</v>
      </c>
      <c r="J84" s="27">
        <v>92</v>
      </c>
      <c r="K84" s="7">
        <f t="shared" si="10"/>
        <v>0.80701754385964908</v>
      </c>
      <c r="L84" s="27">
        <v>170</v>
      </c>
      <c r="M84" s="27">
        <v>157</v>
      </c>
      <c r="N84" s="7">
        <f t="shared" si="11"/>
        <v>0.92352941176470593</v>
      </c>
      <c r="O84" s="27">
        <v>102</v>
      </c>
      <c r="P84" s="27">
        <v>85</v>
      </c>
      <c r="Q84" s="7">
        <f t="shared" si="12"/>
        <v>0.83333333333333337</v>
      </c>
      <c r="R84" s="27">
        <v>1</v>
      </c>
    </row>
    <row r="85" spans="1:18" hidden="1" x14ac:dyDescent="0.25">
      <c r="A85" s="12">
        <v>41548</v>
      </c>
      <c r="B85" s="7">
        <v>0.9</v>
      </c>
      <c r="C85" s="27">
        <v>440</v>
      </c>
      <c r="D85" s="27">
        <v>419</v>
      </c>
      <c r="E85" s="7">
        <f t="shared" si="4"/>
        <v>0.95227272727272727</v>
      </c>
      <c r="F85" s="27">
        <v>23</v>
      </c>
      <c r="G85" s="27">
        <v>22</v>
      </c>
      <c r="H85" s="7">
        <f t="shared" si="9"/>
        <v>0.95652173913043481</v>
      </c>
      <c r="I85" s="27">
        <v>116</v>
      </c>
      <c r="J85" s="27">
        <v>106</v>
      </c>
      <c r="K85" s="7">
        <f t="shared" si="10"/>
        <v>0.91379310344827591</v>
      </c>
      <c r="L85" s="27">
        <v>197</v>
      </c>
      <c r="M85" s="27">
        <v>193</v>
      </c>
      <c r="N85" s="7">
        <f t="shared" si="11"/>
        <v>0.97969543147208127</v>
      </c>
      <c r="O85" s="27">
        <v>104</v>
      </c>
      <c r="P85" s="27">
        <v>98</v>
      </c>
      <c r="Q85" s="7">
        <f t="shared" si="12"/>
        <v>0.94230769230769229</v>
      </c>
      <c r="R85" s="27">
        <v>1</v>
      </c>
    </row>
    <row r="86" spans="1:18" hidden="1" x14ac:dyDescent="0.25">
      <c r="A86" s="12">
        <v>41579</v>
      </c>
      <c r="B86" s="7">
        <v>0.9</v>
      </c>
      <c r="C86" s="27">
        <v>575</v>
      </c>
      <c r="D86" s="27">
        <v>537</v>
      </c>
      <c r="E86" s="7">
        <f t="shared" si="4"/>
        <v>0.93391304347826087</v>
      </c>
      <c r="F86" s="27">
        <v>27</v>
      </c>
      <c r="G86" s="27">
        <v>25</v>
      </c>
      <c r="H86" s="7">
        <f t="shared" si="9"/>
        <v>0.92592592592592593</v>
      </c>
      <c r="I86" s="27">
        <v>163</v>
      </c>
      <c r="J86" s="27">
        <v>143</v>
      </c>
      <c r="K86" s="7">
        <f t="shared" si="10"/>
        <v>0.87730061349693256</v>
      </c>
      <c r="L86" s="27">
        <v>260</v>
      </c>
      <c r="M86" s="27">
        <v>249</v>
      </c>
      <c r="N86" s="7">
        <f t="shared" si="11"/>
        <v>0.95769230769230773</v>
      </c>
      <c r="O86" s="27">
        <v>125</v>
      </c>
      <c r="P86" s="27">
        <v>119</v>
      </c>
      <c r="Q86" s="7">
        <f t="shared" si="12"/>
        <v>0.95199999999999996</v>
      </c>
      <c r="R86" s="27">
        <v>1</v>
      </c>
    </row>
    <row r="87" spans="1:18" hidden="1" x14ac:dyDescent="0.25">
      <c r="A87" s="12">
        <v>41609</v>
      </c>
      <c r="B87" s="7">
        <v>0.9</v>
      </c>
      <c r="C87" s="27">
        <v>524</v>
      </c>
      <c r="D87" s="27">
        <v>411</v>
      </c>
      <c r="E87" s="7">
        <f t="shared" si="4"/>
        <v>0.78435114503816794</v>
      </c>
      <c r="F87" s="27">
        <v>37</v>
      </c>
      <c r="G87" s="27">
        <v>34</v>
      </c>
      <c r="H87" s="7">
        <f t="shared" si="9"/>
        <v>0.91891891891891897</v>
      </c>
      <c r="I87" s="27">
        <v>117</v>
      </c>
      <c r="J87" s="27">
        <v>90</v>
      </c>
      <c r="K87" s="7">
        <f t="shared" si="10"/>
        <v>0.76923076923076927</v>
      </c>
      <c r="L87" s="27">
        <v>229</v>
      </c>
      <c r="M87" s="27">
        <v>186</v>
      </c>
      <c r="N87" s="7">
        <f t="shared" si="11"/>
        <v>0.81222707423580787</v>
      </c>
      <c r="O87" s="27">
        <v>141</v>
      </c>
      <c r="P87" s="27">
        <v>101</v>
      </c>
      <c r="Q87" s="7">
        <f t="shared" si="12"/>
        <v>0.71631205673758869</v>
      </c>
      <c r="R87" s="27">
        <v>6</v>
      </c>
    </row>
    <row r="88" spans="1:18" hidden="1" x14ac:dyDescent="0.25">
      <c r="A88" s="12">
        <v>41640</v>
      </c>
      <c r="B88" s="7">
        <v>0.9</v>
      </c>
      <c r="C88" s="27">
        <v>728</v>
      </c>
      <c r="D88" s="27">
        <v>677</v>
      </c>
      <c r="E88" s="7">
        <f t="shared" si="4"/>
        <v>0.92994505494505497</v>
      </c>
      <c r="F88" s="27">
        <v>23</v>
      </c>
      <c r="G88" s="27">
        <v>13</v>
      </c>
      <c r="H88" s="7">
        <f t="shared" si="9"/>
        <v>0.56521739130434778</v>
      </c>
      <c r="I88" s="27">
        <v>138</v>
      </c>
      <c r="J88" s="27">
        <v>116</v>
      </c>
      <c r="K88" s="7">
        <f t="shared" si="10"/>
        <v>0.84057971014492749</v>
      </c>
      <c r="L88" s="27">
        <v>394</v>
      </c>
      <c r="M88" s="27">
        <v>380</v>
      </c>
      <c r="N88" s="7">
        <f t="shared" si="11"/>
        <v>0.96446700507614214</v>
      </c>
      <c r="O88" s="27">
        <v>173</v>
      </c>
      <c r="P88" s="27">
        <v>168</v>
      </c>
      <c r="Q88" s="7">
        <f t="shared" si="12"/>
        <v>0.97109826589595372</v>
      </c>
      <c r="R88" s="27">
        <v>0</v>
      </c>
    </row>
    <row r="89" spans="1:18" hidden="1" x14ac:dyDescent="0.25">
      <c r="A89" s="12">
        <v>41671</v>
      </c>
      <c r="B89" s="7">
        <v>0.9</v>
      </c>
      <c r="C89" s="27">
        <v>593</v>
      </c>
      <c r="D89" s="27">
        <v>500</v>
      </c>
      <c r="E89" s="7">
        <f t="shared" si="4"/>
        <v>0.84317032040472173</v>
      </c>
      <c r="F89" s="27">
        <v>10</v>
      </c>
      <c r="G89" s="27">
        <v>5</v>
      </c>
      <c r="H89" s="7">
        <f t="shared" si="9"/>
        <v>0.5</v>
      </c>
      <c r="I89" s="27">
        <v>146</v>
      </c>
      <c r="J89" s="27">
        <v>117</v>
      </c>
      <c r="K89" s="7">
        <f t="shared" si="10"/>
        <v>0.80136986301369861</v>
      </c>
      <c r="L89" s="27">
        <v>245</v>
      </c>
      <c r="M89" s="27">
        <v>218</v>
      </c>
      <c r="N89" s="7">
        <f t="shared" si="11"/>
        <v>0.88979591836734695</v>
      </c>
      <c r="O89" s="27">
        <v>192</v>
      </c>
      <c r="P89" s="27">
        <v>160</v>
      </c>
      <c r="Q89" s="7">
        <f t="shared" si="12"/>
        <v>0.83333333333333337</v>
      </c>
      <c r="R89" s="27">
        <v>0</v>
      </c>
    </row>
    <row r="90" spans="1:18" hidden="1" x14ac:dyDescent="0.25">
      <c r="A90" s="12">
        <v>41699</v>
      </c>
      <c r="B90" s="7">
        <v>0.9</v>
      </c>
      <c r="C90" s="27">
        <v>514</v>
      </c>
      <c r="D90" s="27">
        <v>459</v>
      </c>
      <c r="E90" s="7">
        <f t="shared" si="4"/>
        <v>0.89299610894941639</v>
      </c>
      <c r="F90" s="27">
        <v>33</v>
      </c>
      <c r="G90" s="27">
        <v>31</v>
      </c>
      <c r="H90" s="7">
        <f t="shared" si="9"/>
        <v>0.93939393939393945</v>
      </c>
      <c r="I90" s="27">
        <v>111</v>
      </c>
      <c r="J90" s="27">
        <v>99</v>
      </c>
      <c r="K90" s="7">
        <f t="shared" si="10"/>
        <v>0.89189189189189189</v>
      </c>
      <c r="L90" s="27">
        <v>197</v>
      </c>
      <c r="M90" s="27">
        <v>181</v>
      </c>
      <c r="N90" s="7">
        <f t="shared" si="11"/>
        <v>0.91878172588832485</v>
      </c>
      <c r="O90" s="27">
        <v>173</v>
      </c>
      <c r="P90" s="27">
        <v>148</v>
      </c>
      <c r="Q90" s="7">
        <f t="shared" si="12"/>
        <v>0.8554913294797688</v>
      </c>
      <c r="R90" s="27">
        <v>1</v>
      </c>
    </row>
    <row r="91" spans="1:18" hidden="1" x14ac:dyDescent="0.25">
      <c r="A91" s="12">
        <v>41730</v>
      </c>
      <c r="B91" s="7">
        <v>0.9</v>
      </c>
      <c r="C91" s="27">
        <v>585</v>
      </c>
      <c r="D91" s="27">
        <v>495</v>
      </c>
      <c r="E91" s="7">
        <f t="shared" si="4"/>
        <v>0.84615384615384615</v>
      </c>
      <c r="F91" s="27">
        <v>32</v>
      </c>
      <c r="G91" s="27">
        <v>28</v>
      </c>
      <c r="H91" s="7">
        <f t="shared" si="9"/>
        <v>0.875</v>
      </c>
      <c r="I91" s="27">
        <v>128</v>
      </c>
      <c r="J91" s="27">
        <v>117</v>
      </c>
      <c r="K91" s="7">
        <f t="shared" si="10"/>
        <v>0.9140625</v>
      </c>
      <c r="L91" s="27">
        <v>252</v>
      </c>
      <c r="M91" s="27">
        <v>227</v>
      </c>
      <c r="N91" s="7">
        <f t="shared" si="11"/>
        <v>0.90079365079365081</v>
      </c>
      <c r="O91" s="27">
        <v>173</v>
      </c>
      <c r="P91" s="27">
        <v>123</v>
      </c>
      <c r="Q91" s="7">
        <f t="shared" si="12"/>
        <v>0.71098265895953761</v>
      </c>
      <c r="R91" s="27">
        <v>0</v>
      </c>
    </row>
    <row r="92" spans="1:18" hidden="1" x14ac:dyDescent="0.25">
      <c r="A92" s="12">
        <v>41760</v>
      </c>
      <c r="B92" s="7">
        <v>0.9</v>
      </c>
      <c r="C92" s="27">
        <v>616</v>
      </c>
      <c r="D92" s="27">
        <v>511</v>
      </c>
      <c r="E92" s="7">
        <f t="shared" si="4"/>
        <v>0.82954545454545459</v>
      </c>
      <c r="F92" s="27">
        <v>19</v>
      </c>
      <c r="G92" s="27">
        <v>15</v>
      </c>
      <c r="H92" s="7">
        <f t="shared" si="9"/>
        <v>0.78947368421052633</v>
      </c>
      <c r="I92" s="27">
        <v>184</v>
      </c>
      <c r="J92" s="27">
        <v>142</v>
      </c>
      <c r="K92" s="7">
        <f t="shared" si="10"/>
        <v>0.77173913043478259</v>
      </c>
      <c r="L92" s="27">
        <v>265</v>
      </c>
      <c r="M92" s="27">
        <v>239</v>
      </c>
      <c r="N92" s="7">
        <f t="shared" si="11"/>
        <v>0.90188679245283021</v>
      </c>
      <c r="O92" s="27">
        <v>148</v>
      </c>
      <c r="P92" s="27">
        <v>115</v>
      </c>
      <c r="Q92" s="7">
        <f t="shared" si="12"/>
        <v>0.77702702702702697</v>
      </c>
      <c r="R92" s="27">
        <v>1</v>
      </c>
    </row>
    <row r="93" spans="1:18" hidden="1" x14ac:dyDescent="0.25">
      <c r="A93" s="12">
        <v>41791</v>
      </c>
      <c r="B93" s="7">
        <v>0.9</v>
      </c>
      <c r="C93" s="27">
        <v>665</v>
      </c>
      <c r="D93" s="27">
        <v>578</v>
      </c>
      <c r="E93" s="7">
        <f t="shared" si="4"/>
        <v>0.86917293233082704</v>
      </c>
      <c r="F93" s="27">
        <v>36</v>
      </c>
      <c r="G93" s="27">
        <v>34</v>
      </c>
      <c r="H93" s="7">
        <f t="shared" si="9"/>
        <v>0.94444444444444442</v>
      </c>
      <c r="I93" s="27">
        <v>141</v>
      </c>
      <c r="J93" s="27">
        <v>117</v>
      </c>
      <c r="K93" s="7">
        <f t="shared" si="10"/>
        <v>0.82978723404255317</v>
      </c>
      <c r="L93" s="27">
        <v>278</v>
      </c>
      <c r="M93" s="27">
        <v>238</v>
      </c>
      <c r="N93" s="7">
        <f t="shared" si="11"/>
        <v>0.85611510791366907</v>
      </c>
      <c r="O93" s="27">
        <v>210</v>
      </c>
      <c r="P93" s="27">
        <v>189</v>
      </c>
      <c r="Q93" s="7">
        <f t="shared" si="12"/>
        <v>0.9</v>
      </c>
      <c r="R93" s="27">
        <v>0</v>
      </c>
    </row>
    <row r="94" spans="1:18" hidden="1" x14ac:dyDescent="0.25">
      <c r="A94" s="12">
        <v>41821</v>
      </c>
      <c r="B94" s="7">
        <v>0.9</v>
      </c>
      <c r="C94" s="27">
        <v>547</v>
      </c>
      <c r="D94" s="27">
        <v>514</v>
      </c>
      <c r="E94" s="7">
        <f t="shared" si="4"/>
        <v>0.93967093235831811</v>
      </c>
      <c r="F94" s="27">
        <v>20</v>
      </c>
      <c r="G94" s="27">
        <v>17</v>
      </c>
      <c r="H94" s="7">
        <f t="shared" si="9"/>
        <v>0.85</v>
      </c>
      <c r="I94" s="27">
        <v>134</v>
      </c>
      <c r="J94" s="27">
        <v>126</v>
      </c>
      <c r="K94" s="7">
        <f t="shared" si="10"/>
        <v>0.94029850746268662</v>
      </c>
      <c r="L94" s="27">
        <v>194</v>
      </c>
      <c r="M94" s="27">
        <v>186</v>
      </c>
      <c r="N94" s="7">
        <f t="shared" si="11"/>
        <v>0.95876288659793818</v>
      </c>
      <c r="O94" s="27">
        <v>199</v>
      </c>
      <c r="P94" s="27">
        <v>185</v>
      </c>
      <c r="Q94" s="7">
        <f t="shared" si="12"/>
        <v>0.92964824120603018</v>
      </c>
      <c r="R94" s="27">
        <v>0</v>
      </c>
    </row>
    <row r="95" spans="1:18" hidden="1" x14ac:dyDescent="0.25">
      <c r="A95" s="12">
        <v>41852</v>
      </c>
      <c r="B95" s="7">
        <v>0.9</v>
      </c>
      <c r="C95" s="27">
        <v>633</v>
      </c>
      <c r="D95" s="27">
        <v>585</v>
      </c>
      <c r="E95" s="7">
        <f t="shared" si="4"/>
        <v>0.92417061611374407</v>
      </c>
      <c r="F95" s="27">
        <v>34</v>
      </c>
      <c r="G95" s="27">
        <v>32</v>
      </c>
      <c r="H95" s="7">
        <f t="shared" si="9"/>
        <v>0.94117647058823528</v>
      </c>
      <c r="I95" s="27">
        <v>127</v>
      </c>
      <c r="J95" s="27">
        <v>116</v>
      </c>
      <c r="K95" s="7">
        <f t="shared" si="10"/>
        <v>0.91338582677165359</v>
      </c>
      <c r="L95" s="27">
        <v>209</v>
      </c>
      <c r="M95" s="27">
        <v>191</v>
      </c>
      <c r="N95" s="7">
        <f t="shared" si="11"/>
        <v>0.9138755980861244</v>
      </c>
      <c r="O95" s="27">
        <v>263</v>
      </c>
      <c r="P95" s="27">
        <v>246</v>
      </c>
      <c r="Q95" s="7">
        <f t="shared" si="12"/>
        <v>0.93536121673003803</v>
      </c>
      <c r="R95" s="27">
        <v>1</v>
      </c>
    </row>
    <row r="96" spans="1:18" s="186" customFormat="1" hidden="1" x14ac:dyDescent="0.25">
      <c r="A96" s="12">
        <v>41883</v>
      </c>
      <c r="B96" s="7">
        <v>0.9</v>
      </c>
      <c r="C96" s="27">
        <v>691</v>
      </c>
      <c r="D96" s="27">
        <v>637</v>
      </c>
      <c r="E96" s="7">
        <f t="shared" si="4"/>
        <v>0.92185238784370482</v>
      </c>
      <c r="F96" s="27">
        <v>24</v>
      </c>
      <c r="G96" s="27">
        <v>18</v>
      </c>
      <c r="H96" s="7">
        <f t="shared" si="9"/>
        <v>0.75</v>
      </c>
      <c r="I96" s="27">
        <v>179</v>
      </c>
      <c r="J96" s="27">
        <v>160</v>
      </c>
      <c r="K96" s="7">
        <f t="shared" si="10"/>
        <v>0.8938547486033519</v>
      </c>
      <c r="L96" s="27">
        <v>224</v>
      </c>
      <c r="M96" s="27">
        <v>212</v>
      </c>
      <c r="N96" s="7">
        <f t="shared" si="11"/>
        <v>0.9464285714285714</v>
      </c>
      <c r="O96" s="27">
        <v>264</v>
      </c>
      <c r="P96" s="27">
        <v>247</v>
      </c>
      <c r="Q96" s="7">
        <f t="shared" si="12"/>
        <v>0.93560606060606055</v>
      </c>
      <c r="R96" s="27">
        <v>0</v>
      </c>
    </row>
    <row r="97" spans="1:18" s="186" customFormat="1" hidden="1" x14ac:dyDescent="0.25">
      <c r="A97" s="12">
        <v>41913</v>
      </c>
      <c r="B97" s="7">
        <v>0.9</v>
      </c>
      <c r="C97" s="27">
        <v>680</v>
      </c>
      <c r="D97" s="27">
        <v>627</v>
      </c>
      <c r="E97" s="7">
        <f t="shared" si="4"/>
        <v>0.92205882352941182</v>
      </c>
      <c r="F97" s="27">
        <v>14</v>
      </c>
      <c r="G97" s="27">
        <v>12</v>
      </c>
      <c r="H97" s="7">
        <f t="shared" si="9"/>
        <v>0.8571428571428571</v>
      </c>
      <c r="I97" s="27">
        <v>181</v>
      </c>
      <c r="J97" s="27">
        <v>153</v>
      </c>
      <c r="K97" s="7">
        <f t="shared" si="10"/>
        <v>0.84530386740331487</v>
      </c>
      <c r="L97" s="27">
        <v>263</v>
      </c>
      <c r="M97" s="27">
        <v>253</v>
      </c>
      <c r="N97" s="7">
        <f t="shared" si="11"/>
        <v>0.96197718631178708</v>
      </c>
      <c r="O97" s="27">
        <v>222</v>
      </c>
      <c r="P97" s="27">
        <v>209</v>
      </c>
      <c r="Q97" s="7">
        <f t="shared" si="12"/>
        <v>0.94144144144144148</v>
      </c>
      <c r="R97" s="27">
        <v>2</v>
      </c>
    </row>
    <row r="98" spans="1:18" s="186" customFormat="1" hidden="1" x14ac:dyDescent="0.25">
      <c r="A98" s="12">
        <v>41944</v>
      </c>
      <c r="B98" s="7">
        <v>0.9</v>
      </c>
      <c r="C98" s="27">
        <v>624</v>
      </c>
      <c r="D98" s="27">
        <v>583</v>
      </c>
      <c r="E98" s="7">
        <f t="shared" si="4"/>
        <v>0.93429487179487181</v>
      </c>
      <c r="F98" s="27">
        <v>14</v>
      </c>
      <c r="G98" s="27">
        <v>13</v>
      </c>
      <c r="H98" s="7">
        <f t="shared" si="9"/>
        <v>0.9285714285714286</v>
      </c>
      <c r="I98" s="27">
        <v>184</v>
      </c>
      <c r="J98" s="27">
        <v>160</v>
      </c>
      <c r="K98" s="7">
        <f t="shared" si="10"/>
        <v>0.86956521739130432</v>
      </c>
      <c r="L98" s="27">
        <v>205</v>
      </c>
      <c r="M98" s="27">
        <v>199</v>
      </c>
      <c r="N98" s="7">
        <f t="shared" si="11"/>
        <v>0.97073170731707314</v>
      </c>
      <c r="O98" s="27">
        <v>221</v>
      </c>
      <c r="P98" s="27">
        <v>211</v>
      </c>
      <c r="Q98" s="7">
        <f t="shared" si="12"/>
        <v>0.95475113122171951</v>
      </c>
      <c r="R98" s="27">
        <v>0</v>
      </c>
    </row>
    <row r="99" spans="1:18" ht="12.75" hidden="1" customHeight="1" x14ac:dyDescent="0.25">
      <c r="A99" s="1">
        <v>41974</v>
      </c>
      <c r="B99" s="7">
        <v>0.9</v>
      </c>
      <c r="C99" s="27">
        <v>461</v>
      </c>
      <c r="D99" s="27">
        <v>418</v>
      </c>
      <c r="E99" s="169">
        <f t="shared" si="4"/>
        <v>0.90672451193058567</v>
      </c>
      <c r="F99" s="27">
        <v>18</v>
      </c>
      <c r="G99" s="27">
        <v>14</v>
      </c>
      <c r="H99" s="169">
        <f t="shared" si="9"/>
        <v>0.77777777777777779</v>
      </c>
      <c r="I99" s="27">
        <v>124</v>
      </c>
      <c r="J99" s="27">
        <v>115</v>
      </c>
      <c r="K99" s="169">
        <f t="shared" si="10"/>
        <v>0.92741935483870963</v>
      </c>
      <c r="L99" s="27">
        <v>132</v>
      </c>
      <c r="M99" s="27">
        <v>121</v>
      </c>
      <c r="N99" s="169">
        <f t="shared" si="11"/>
        <v>0.91666666666666663</v>
      </c>
      <c r="O99" s="27">
        <v>187</v>
      </c>
      <c r="P99" s="27">
        <v>167</v>
      </c>
      <c r="Q99" s="169">
        <f t="shared" si="12"/>
        <v>0.89304812834224601</v>
      </c>
      <c r="R99" s="27">
        <v>1</v>
      </c>
    </row>
    <row r="100" spans="1:18" s="186" customFormat="1" ht="12.75" hidden="1" customHeight="1" x14ac:dyDescent="0.25">
      <c r="A100" s="1">
        <v>42005</v>
      </c>
      <c r="B100" s="7">
        <v>0.9</v>
      </c>
      <c r="C100" s="27">
        <v>710</v>
      </c>
      <c r="D100" s="27">
        <v>602</v>
      </c>
      <c r="E100" s="169">
        <f t="shared" si="4"/>
        <v>0.84788732394366195</v>
      </c>
      <c r="F100" s="27">
        <v>21</v>
      </c>
      <c r="G100" s="27">
        <v>12</v>
      </c>
      <c r="H100" s="169">
        <f t="shared" si="9"/>
        <v>0.5714285714285714</v>
      </c>
      <c r="I100" s="27">
        <v>389</v>
      </c>
      <c r="J100" s="27">
        <v>331</v>
      </c>
      <c r="K100" s="169">
        <f t="shared" si="10"/>
        <v>0.85089974293059123</v>
      </c>
      <c r="L100" s="27">
        <v>76</v>
      </c>
      <c r="M100" s="27">
        <v>57</v>
      </c>
      <c r="N100" s="169">
        <f t="shared" si="11"/>
        <v>0.75</v>
      </c>
      <c r="O100" s="27">
        <v>224</v>
      </c>
      <c r="P100" s="27">
        <v>202</v>
      </c>
      <c r="Q100" s="169">
        <f t="shared" si="12"/>
        <v>0.9017857142857143</v>
      </c>
      <c r="R100" s="27">
        <v>0</v>
      </c>
    </row>
    <row r="101" spans="1:18" s="186" customFormat="1" ht="12.75" hidden="1" customHeight="1" x14ac:dyDescent="0.25">
      <c r="A101" s="1">
        <v>42036</v>
      </c>
      <c r="B101" s="7">
        <v>0.9</v>
      </c>
      <c r="C101" s="27">
        <v>605</v>
      </c>
      <c r="D101" s="27">
        <v>545</v>
      </c>
      <c r="E101" s="169">
        <f t="shared" si="4"/>
        <v>0.90082644628099173</v>
      </c>
      <c r="F101" s="27">
        <v>27</v>
      </c>
      <c r="G101" s="27">
        <v>22</v>
      </c>
      <c r="H101" s="169">
        <f t="shared" si="9"/>
        <v>0.81481481481481477</v>
      </c>
      <c r="I101" s="27">
        <v>331</v>
      </c>
      <c r="J101" s="27">
        <v>298</v>
      </c>
      <c r="K101" s="169">
        <f t="shared" si="10"/>
        <v>0.90030211480362543</v>
      </c>
      <c r="L101" s="27">
        <v>38</v>
      </c>
      <c r="M101" s="27">
        <v>28</v>
      </c>
      <c r="N101" s="169">
        <f t="shared" si="11"/>
        <v>0.73684210526315785</v>
      </c>
      <c r="O101" s="27">
        <v>209</v>
      </c>
      <c r="P101" s="27">
        <v>197</v>
      </c>
      <c r="Q101" s="169">
        <f t="shared" si="12"/>
        <v>0.9425837320574163</v>
      </c>
      <c r="R101" s="27">
        <v>0</v>
      </c>
    </row>
    <row r="102" spans="1:18" s="186" customFormat="1" ht="12.75" hidden="1" customHeight="1" x14ac:dyDescent="0.25">
      <c r="A102" s="1">
        <v>42064</v>
      </c>
      <c r="B102" s="7">
        <v>0.9</v>
      </c>
      <c r="C102" s="27">
        <v>716</v>
      </c>
      <c r="D102" s="27">
        <v>567</v>
      </c>
      <c r="E102" s="169">
        <f t="shared" si="4"/>
        <v>0.79189944134078216</v>
      </c>
      <c r="F102" s="27">
        <v>48</v>
      </c>
      <c r="G102" s="27">
        <v>31</v>
      </c>
      <c r="H102" s="169">
        <f t="shared" si="9"/>
        <v>0.64583333333333337</v>
      </c>
      <c r="I102" s="27">
        <v>354</v>
      </c>
      <c r="J102" s="27">
        <v>276</v>
      </c>
      <c r="K102" s="169">
        <f t="shared" si="10"/>
        <v>0.77966101694915257</v>
      </c>
      <c r="L102" s="27">
        <v>48</v>
      </c>
      <c r="M102" s="27">
        <v>31</v>
      </c>
      <c r="N102" s="169">
        <f t="shared" si="11"/>
        <v>0.64583333333333337</v>
      </c>
      <c r="O102" s="27">
        <v>266</v>
      </c>
      <c r="P102" s="27">
        <v>229</v>
      </c>
      <c r="Q102" s="169">
        <f t="shared" si="12"/>
        <v>0.86090225563909772</v>
      </c>
      <c r="R102" s="27">
        <v>0</v>
      </c>
    </row>
    <row r="103" spans="1:18" s="186" customFormat="1" ht="12.75" hidden="1" customHeight="1" x14ac:dyDescent="0.25">
      <c r="A103" s="1">
        <v>42095</v>
      </c>
      <c r="B103" s="7">
        <v>0.9</v>
      </c>
      <c r="C103" s="27">
        <v>627</v>
      </c>
      <c r="D103" s="27">
        <v>527</v>
      </c>
      <c r="E103" s="169">
        <f t="shared" si="4"/>
        <v>0.84051036682615632</v>
      </c>
      <c r="F103" s="27">
        <v>21</v>
      </c>
      <c r="G103" s="27">
        <v>15</v>
      </c>
      <c r="H103" s="169">
        <f t="shared" si="9"/>
        <v>0.7142857142857143</v>
      </c>
      <c r="I103" s="27">
        <v>330</v>
      </c>
      <c r="J103" s="27">
        <v>293</v>
      </c>
      <c r="K103" s="169">
        <f t="shared" si="10"/>
        <v>0.88787878787878793</v>
      </c>
      <c r="L103" s="27">
        <v>42</v>
      </c>
      <c r="M103" s="27">
        <v>23</v>
      </c>
      <c r="N103" s="169">
        <f t="shared" si="11"/>
        <v>0.54761904761904767</v>
      </c>
      <c r="O103" s="27">
        <v>234</v>
      </c>
      <c r="P103" s="27">
        <v>196</v>
      </c>
      <c r="Q103" s="169">
        <f t="shared" si="12"/>
        <v>0.83760683760683763</v>
      </c>
      <c r="R103" s="27">
        <v>0</v>
      </c>
    </row>
    <row r="104" spans="1:18" s="186" customFormat="1" ht="12.75" customHeight="1" x14ac:dyDescent="0.25">
      <c r="A104" s="1">
        <v>42125</v>
      </c>
      <c r="B104" s="7">
        <v>0.9</v>
      </c>
      <c r="C104" s="27">
        <v>587</v>
      </c>
      <c r="D104" s="27">
        <v>524</v>
      </c>
      <c r="E104" s="169">
        <f t="shared" si="4"/>
        <v>0.89267461669505965</v>
      </c>
      <c r="F104" s="27">
        <v>11</v>
      </c>
      <c r="G104" s="27">
        <v>7</v>
      </c>
      <c r="H104" s="169">
        <f t="shared" si="9"/>
        <v>0.63636363636363635</v>
      </c>
      <c r="I104" s="27">
        <v>308</v>
      </c>
      <c r="J104" s="27">
        <v>270</v>
      </c>
      <c r="K104" s="169">
        <f t="shared" si="10"/>
        <v>0.87662337662337664</v>
      </c>
      <c r="L104" s="27">
        <v>33</v>
      </c>
      <c r="M104" s="27">
        <v>21</v>
      </c>
      <c r="N104" s="169">
        <f t="shared" si="11"/>
        <v>0.63636363636363635</v>
      </c>
      <c r="O104" s="27">
        <v>235</v>
      </c>
      <c r="P104" s="27">
        <v>226</v>
      </c>
      <c r="Q104" s="169">
        <f t="shared" si="12"/>
        <v>0.96170212765957441</v>
      </c>
      <c r="R104" s="27">
        <v>1</v>
      </c>
    </row>
    <row r="105" spans="1:18" s="186" customFormat="1" ht="12.75" customHeight="1" x14ac:dyDescent="0.25">
      <c r="A105" s="1">
        <v>42156</v>
      </c>
      <c r="B105" s="7">
        <v>0.9</v>
      </c>
      <c r="C105" s="27">
        <v>567</v>
      </c>
      <c r="D105" s="27">
        <v>469</v>
      </c>
      <c r="E105" s="169">
        <f t="shared" si="4"/>
        <v>0.8271604938271605</v>
      </c>
      <c r="F105" s="27">
        <v>29</v>
      </c>
      <c r="G105" s="27">
        <v>22</v>
      </c>
      <c r="H105" s="169">
        <f t="shared" si="9"/>
        <v>0.75862068965517238</v>
      </c>
      <c r="I105" s="27">
        <v>330</v>
      </c>
      <c r="J105" s="27">
        <v>268</v>
      </c>
      <c r="K105" s="169">
        <f t="shared" si="10"/>
        <v>0.81212121212121213</v>
      </c>
      <c r="L105" s="27">
        <v>33</v>
      </c>
      <c r="M105" s="27">
        <v>19</v>
      </c>
      <c r="N105" s="169">
        <f t="shared" si="11"/>
        <v>0.5757575757575758</v>
      </c>
      <c r="O105" s="27">
        <v>175</v>
      </c>
      <c r="P105" s="27">
        <v>160</v>
      </c>
      <c r="Q105" s="169">
        <f t="shared" si="12"/>
        <v>0.91428571428571426</v>
      </c>
      <c r="R105" s="27">
        <v>0</v>
      </c>
    </row>
    <row r="106" spans="1:18" s="186" customFormat="1" ht="12.75" customHeight="1" x14ac:dyDescent="0.25">
      <c r="A106" s="1">
        <v>42200</v>
      </c>
      <c r="B106" s="7">
        <v>0.9</v>
      </c>
      <c r="C106" s="27">
        <v>477</v>
      </c>
      <c r="D106" s="27">
        <v>395</v>
      </c>
      <c r="E106" s="169">
        <f t="shared" si="4"/>
        <v>0.82809224318658281</v>
      </c>
      <c r="F106" s="27">
        <v>26</v>
      </c>
      <c r="G106" s="27">
        <v>17</v>
      </c>
      <c r="H106" s="169">
        <f t="shared" si="9"/>
        <v>0.65384615384615385</v>
      </c>
      <c r="I106" s="27">
        <v>237</v>
      </c>
      <c r="J106" s="27">
        <v>199</v>
      </c>
      <c r="K106" s="169">
        <f t="shared" si="10"/>
        <v>0.83966244725738393</v>
      </c>
      <c r="L106" s="27">
        <v>40</v>
      </c>
      <c r="M106" s="27">
        <v>34</v>
      </c>
      <c r="N106" s="169">
        <f t="shared" si="11"/>
        <v>0.85</v>
      </c>
      <c r="O106" s="27">
        <v>174</v>
      </c>
      <c r="P106" s="27">
        <v>145</v>
      </c>
      <c r="Q106" s="169">
        <f t="shared" si="12"/>
        <v>0.83333333333333337</v>
      </c>
      <c r="R106" s="27">
        <v>0</v>
      </c>
    </row>
    <row r="107" spans="1:18" s="186" customFormat="1" ht="12.75" customHeight="1" x14ac:dyDescent="0.25">
      <c r="A107" s="1">
        <v>42231</v>
      </c>
      <c r="B107" s="7">
        <v>0.9</v>
      </c>
      <c r="C107" s="27">
        <v>403</v>
      </c>
      <c r="D107" s="27">
        <v>349</v>
      </c>
      <c r="E107" s="169">
        <f t="shared" si="4"/>
        <v>0.86600496277915628</v>
      </c>
      <c r="F107" s="27">
        <v>18</v>
      </c>
      <c r="G107" s="27">
        <v>14</v>
      </c>
      <c r="H107" s="169">
        <f t="shared" si="9"/>
        <v>0.77777777777777779</v>
      </c>
      <c r="I107" s="27">
        <v>262</v>
      </c>
      <c r="J107" s="27">
        <v>225</v>
      </c>
      <c r="K107" s="169">
        <f t="shared" si="10"/>
        <v>0.85877862595419852</v>
      </c>
      <c r="L107" s="27">
        <v>33</v>
      </c>
      <c r="M107" s="27">
        <v>26</v>
      </c>
      <c r="N107" s="169">
        <f t="shared" si="11"/>
        <v>0.78787878787878785</v>
      </c>
      <c r="O107" s="27">
        <v>90</v>
      </c>
      <c r="P107" s="27">
        <v>84</v>
      </c>
      <c r="Q107" s="169">
        <f t="shared" si="12"/>
        <v>0.93333333333333335</v>
      </c>
      <c r="R107" s="27">
        <v>0</v>
      </c>
    </row>
    <row r="108" spans="1:18" s="186" customFormat="1" ht="12.75" customHeight="1" x14ac:dyDescent="0.25">
      <c r="A108" s="1">
        <v>42262</v>
      </c>
      <c r="B108" s="7">
        <v>0.9</v>
      </c>
      <c r="C108" s="27">
        <v>552</v>
      </c>
      <c r="D108" s="27">
        <v>466</v>
      </c>
      <c r="E108" s="169">
        <f t="shared" si="4"/>
        <v>0.84420289855072461</v>
      </c>
      <c r="F108" s="27">
        <v>25</v>
      </c>
      <c r="G108" s="27">
        <v>22</v>
      </c>
      <c r="H108" s="169">
        <f t="shared" si="9"/>
        <v>0.88</v>
      </c>
      <c r="I108" s="27">
        <v>274</v>
      </c>
      <c r="J108" s="27">
        <v>216</v>
      </c>
      <c r="K108" s="169">
        <f t="shared" si="10"/>
        <v>0.78832116788321172</v>
      </c>
      <c r="L108" s="27">
        <v>45</v>
      </c>
      <c r="M108" s="27">
        <v>38</v>
      </c>
      <c r="N108" s="169">
        <f t="shared" si="11"/>
        <v>0.84444444444444444</v>
      </c>
      <c r="O108" s="27">
        <v>208</v>
      </c>
      <c r="P108" s="27">
        <v>190</v>
      </c>
      <c r="Q108" s="169">
        <f t="shared" si="12"/>
        <v>0.91346153846153844</v>
      </c>
      <c r="R108" s="27">
        <v>0</v>
      </c>
    </row>
    <row r="109" spans="1:18" s="186" customFormat="1" ht="12.75" customHeight="1" x14ac:dyDescent="0.25">
      <c r="A109" s="1">
        <v>42292</v>
      </c>
      <c r="B109" s="7">
        <v>0.9</v>
      </c>
      <c r="C109" s="27">
        <v>573</v>
      </c>
      <c r="D109" s="27">
        <v>490</v>
      </c>
      <c r="E109" s="169">
        <f t="shared" si="4"/>
        <v>0.85514834205933687</v>
      </c>
      <c r="F109" s="27">
        <v>18</v>
      </c>
      <c r="G109" s="27">
        <v>15</v>
      </c>
      <c r="H109" s="169">
        <f t="shared" si="9"/>
        <v>0.83333333333333337</v>
      </c>
      <c r="I109" s="27">
        <v>361</v>
      </c>
      <c r="J109" s="27">
        <v>301</v>
      </c>
      <c r="K109" s="169">
        <f t="shared" si="10"/>
        <v>0.83379501385041555</v>
      </c>
      <c r="L109" s="27">
        <v>42</v>
      </c>
      <c r="M109" s="27">
        <v>35</v>
      </c>
      <c r="N109" s="169">
        <f t="shared" si="11"/>
        <v>0.83333333333333337</v>
      </c>
      <c r="O109" s="27">
        <v>152</v>
      </c>
      <c r="P109" s="27">
        <v>139</v>
      </c>
      <c r="Q109" s="169">
        <f t="shared" si="12"/>
        <v>0.91447368421052633</v>
      </c>
      <c r="R109" s="27">
        <v>0</v>
      </c>
    </row>
    <row r="110" spans="1:18" s="186" customFormat="1" ht="12.75" customHeight="1" x14ac:dyDescent="0.25">
      <c r="A110" s="1">
        <v>42309</v>
      </c>
      <c r="B110" s="7">
        <v>0.9</v>
      </c>
      <c r="C110" s="27">
        <v>497</v>
      </c>
      <c r="D110" s="27">
        <v>426</v>
      </c>
      <c r="E110" s="169">
        <f t="shared" si="4"/>
        <v>0.8571428571428571</v>
      </c>
      <c r="F110" s="27">
        <v>12</v>
      </c>
      <c r="G110" s="27">
        <v>12</v>
      </c>
      <c r="H110" s="169">
        <f t="shared" si="9"/>
        <v>1</v>
      </c>
      <c r="I110" s="27">
        <v>252</v>
      </c>
      <c r="J110" s="27">
        <v>208</v>
      </c>
      <c r="K110" s="169">
        <f t="shared" si="10"/>
        <v>0.82539682539682535</v>
      </c>
      <c r="L110" s="27">
        <v>90</v>
      </c>
      <c r="M110" s="27">
        <v>81</v>
      </c>
      <c r="N110" s="169">
        <f t="shared" si="11"/>
        <v>0.9</v>
      </c>
      <c r="O110" s="27">
        <v>143</v>
      </c>
      <c r="P110" s="27">
        <v>125</v>
      </c>
      <c r="Q110" s="169">
        <f t="shared" si="12"/>
        <v>0.87412587412587417</v>
      </c>
      <c r="R110" s="27">
        <v>0</v>
      </c>
    </row>
    <row r="111" spans="1:18" s="186" customFormat="1" ht="12.75" customHeight="1" x14ac:dyDescent="0.25">
      <c r="A111" s="1">
        <v>42339</v>
      </c>
      <c r="B111" s="7">
        <v>0.9</v>
      </c>
      <c r="C111" s="27">
        <v>302</v>
      </c>
      <c r="D111" s="27">
        <v>261</v>
      </c>
      <c r="E111" s="169">
        <f t="shared" si="4"/>
        <v>0.86423841059602646</v>
      </c>
      <c r="F111" s="27">
        <v>14</v>
      </c>
      <c r="G111" s="27">
        <v>14</v>
      </c>
      <c r="H111" s="169">
        <f t="shared" si="9"/>
        <v>1</v>
      </c>
      <c r="I111" s="27">
        <v>175</v>
      </c>
      <c r="J111" s="27">
        <v>142</v>
      </c>
      <c r="K111" s="169">
        <f t="shared" si="10"/>
        <v>0.81142857142857139</v>
      </c>
      <c r="L111" s="27">
        <v>49</v>
      </c>
      <c r="M111" s="27">
        <v>49</v>
      </c>
      <c r="N111" s="169">
        <f t="shared" si="11"/>
        <v>1</v>
      </c>
      <c r="O111" s="27">
        <v>64</v>
      </c>
      <c r="P111" s="27">
        <v>59</v>
      </c>
      <c r="Q111" s="169">
        <f t="shared" si="12"/>
        <v>0.921875</v>
      </c>
      <c r="R111" s="27">
        <v>1</v>
      </c>
    </row>
    <row r="112" spans="1:18" s="186" customFormat="1" ht="12.75" customHeight="1" x14ac:dyDescent="0.25">
      <c r="A112" s="1">
        <v>42370</v>
      </c>
      <c r="B112" s="7">
        <v>0.9</v>
      </c>
      <c r="C112" s="27">
        <v>603</v>
      </c>
      <c r="D112" s="27">
        <v>522</v>
      </c>
      <c r="E112" s="169">
        <f t="shared" si="4"/>
        <v>0.86567164179104472</v>
      </c>
      <c r="F112" s="27">
        <v>29</v>
      </c>
      <c r="G112" s="27">
        <v>18</v>
      </c>
      <c r="H112" s="169">
        <f t="shared" si="9"/>
        <v>0.62068965517241381</v>
      </c>
      <c r="I112" s="27">
        <v>319</v>
      </c>
      <c r="J112" s="27">
        <v>277</v>
      </c>
      <c r="K112" s="169">
        <f t="shared" si="10"/>
        <v>0.86833855799373039</v>
      </c>
      <c r="L112" s="27">
        <v>104</v>
      </c>
      <c r="M112" s="27">
        <v>89</v>
      </c>
      <c r="N112" s="169">
        <f t="shared" si="11"/>
        <v>0.85576923076923073</v>
      </c>
      <c r="O112" s="27">
        <v>151</v>
      </c>
      <c r="P112" s="27">
        <v>138</v>
      </c>
      <c r="Q112" s="169">
        <f t="shared" si="12"/>
        <v>0.91390728476821192</v>
      </c>
      <c r="R112" s="27">
        <v>0</v>
      </c>
    </row>
    <row r="113" spans="1:18" s="186" customFormat="1" ht="12.75" customHeight="1" x14ac:dyDescent="0.25">
      <c r="A113" s="1">
        <v>42401</v>
      </c>
      <c r="B113" s="7">
        <v>0.9</v>
      </c>
      <c r="C113" s="27">
        <v>509</v>
      </c>
      <c r="D113" s="27">
        <v>438</v>
      </c>
      <c r="E113" s="169">
        <f t="shared" si="4"/>
        <v>0.86051080550098236</v>
      </c>
      <c r="F113" s="27">
        <v>19</v>
      </c>
      <c r="G113" s="27">
        <v>15</v>
      </c>
      <c r="H113" s="169">
        <f t="shared" si="9"/>
        <v>0.78947368421052633</v>
      </c>
      <c r="I113" s="27">
        <v>247</v>
      </c>
      <c r="J113" s="27">
        <v>210</v>
      </c>
      <c r="K113" s="169">
        <f t="shared" si="10"/>
        <v>0.8502024291497976</v>
      </c>
      <c r="L113" s="27">
        <v>98</v>
      </c>
      <c r="M113" s="27">
        <v>76</v>
      </c>
      <c r="N113" s="169">
        <f t="shared" si="11"/>
        <v>0.77551020408163263</v>
      </c>
      <c r="O113" s="27">
        <v>145</v>
      </c>
      <c r="P113" s="27">
        <v>137</v>
      </c>
      <c r="Q113" s="169">
        <f t="shared" si="12"/>
        <v>0.94482758620689655</v>
      </c>
      <c r="R113" s="27">
        <v>0</v>
      </c>
    </row>
    <row r="114" spans="1:18" s="186" customFormat="1" ht="12.75" customHeight="1" x14ac:dyDescent="0.25">
      <c r="A114" s="1">
        <v>42430</v>
      </c>
      <c r="B114" s="7">
        <v>0.9</v>
      </c>
      <c r="C114" s="27">
        <v>461</v>
      </c>
      <c r="D114" s="27">
        <v>392</v>
      </c>
      <c r="E114" s="169">
        <f t="shared" si="4"/>
        <v>0.85032537960954446</v>
      </c>
      <c r="F114" s="27">
        <v>10</v>
      </c>
      <c r="G114" s="27">
        <v>9</v>
      </c>
      <c r="H114" s="169">
        <f t="shared" si="9"/>
        <v>0.9</v>
      </c>
      <c r="I114" s="27">
        <v>247</v>
      </c>
      <c r="J114" s="27">
        <v>193</v>
      </c>
      <c r="K114" s="169">
        <f t="shared" si="10"/>
        <v>0.78137651821862353</v>
      </c>
      <c r="L114" s="27">
        <v>73</v>
      </c>
      <c r="M114" s="27">
        <v>66</v>
      </c>
      <c r="N114" s="169">
        <f t="shared" si="11"/>
        <v>0.90410958904109584</v>
      </c>
      <c r="O114" s="27">
        <v>131</v>
      </c>
      <c r="P114" s="27">
        <v>124</v>
      </c>
      <c r="Q114" s="169">
        <f t="shared" si="12"/>
        <v>0.94656488549618323</v>
      </c>
      <c r="R114" s="27">
        <v>2</v>
      </c>
    </row>
    <row r="115" spans="1:18" s="186" customFormat="1" ht="12.75" customHeight="1" x14ac:dyDescent="0.25">
      <c r="A115" s="1">
        <v>42461</v>
      </c>
      <c r="B115" s="7">
        <v>0.9</v>
      </c>
      <c r="C115" s="27">
        <v>409</v>
      </c>
      <c r="D115" s="27">
        <v>372</v>
      </c>
      <c r="E115" s="169">
        <f t="shared" si="4"/>
        <v>0.90953545232273836</v>
      </c>
      <c r="F115" s="27">
        <v>13</v>
      </c>
      <c r="G115" s="27">
        <v>13</v>
      </c>
      <c r="H115" s="169">
        <f t="shared" si="9"/>
        <v>1</v>
      </c>
      <c r="I115" s="27">
        <v>183</v>
      </c>
      <c r="J115" s="27">
        <v>153</v>
      </c>
      <c r="K115" s="169">
        <f t="shared" si="10"/>
        <v>0.83606557377049184</v>
      </c>
      <c r="L115" s="27">
        <v>69</v>
      </c>
      <c r="M115" s="27">
        <v>66</v>
      </c>
      <c r="N115" s="169">
        <f t="shared" si="11"/>
        <v>0.95652173913043481</v>
      </c>
      <c r="O115" s="27">
        <v>144</v>
      </c>
      <c r="P115" s="27">
        <v>140</v>
      </c>
      <c r="Q115" s="169">
        <f t="shared" si="12"/>
        <v>0.97222222222222221</v>
      </c>
      <c r="R115" s="27">
        <v>0</v>
      </c>
    </row>
    <row r="116" spans="1:18" s="186" customFormat="1" ht="12.75" customHeight="1" x14ac:dyDescent="0.25">
      <c r="A116" s="1">
        <v>42491</v>
      </c>
      <c r="B116" s="7">
        <v>0.9</v>
      </c>
      <c r="C116" s="27">
        <v>414</v>
      </c>
      <c r="D116" s="27">
        <v>365</v>
      </c>
      <c r="E116" s="169">
        <f t="shared" si="4"/>
        <v>0.88164251207729472</v>
      </c>
      <c r="F116" s="27">
        <v>3</v>
      </c>
      <c r="G116" s="27">
        <v>3</v>
      </c>
      <c r="H116" s="169">
        <f t="shared" si="9"/>
        <v>1</v>
      </c>
      <c r="I116" s="27">
        <v>201</v>
      </c>
      <c r="J116" s="27">
        <v>175</v>
      </c>
      <c r="K116" s="169">
        <f t="shared" si="10"/>
        <v>0.87064676616915426</v>
      </c>
      <c r="L116" s="27">
        <v>84</v>
      </c>
      <c r="M116" s="27">
        <v>67</v>
      </c>
      <c r="N116" s="169">
        <f t="shared" si="11"/>
        <v>0.79761904761904767</v>
      </c>
      <c r="O116" s="27">
        <v>126</v>
      </c>
      <c r="P116" s="27">
        <v>120</v>
      </c>
      <c r="Q116" s="169">
        <f t="shared" si="12"/>
        <v>0.95238095238095233</v>
      </c>
      <c r="R116" s="27">
        <v>0</v>
      </c>
    </row>
    <row r="117" spans="1:18" s="186" customFormat="1" ht="12.75" customHeight="1" x14ac:dyDescent="0.25">
      <c r="A117" s="1">
        <v>42522</v>
      </c>
      <c r="B117" s="7">
        <v>0.9</v>
      </c>
      <c r="C117" s="27">
        <v>596</v>
      </c>
      <c r="D117" s="27">
        <v>524</v>
      </c>
      <c r="E117" s="169">
        <f t="shared" si="4"/>
        <v>0.87919463087248317</v>
      </c>
      <c r="F117" s="27">
        <v>7</v>
      </c>
      <c r="G117" s="27">
        <v>6</v>
      </c>
      <c r="H117" s="169">
        <f t="shared" si="9"/>
        <v>0.8571428571428571</v>
      </c>
      <c r="I117" s="27">
        <v>255</v>
      </c>
      <c r="J117" s="27">
        <v>203</v>
      </c>
      <c r="K117" s="169">
        <f t="shared" si="10"/>
        <v>0.79607843137254897</v>
      </c>
      <c r="L117" s="27">
        <v>87</v>
      </c>
      <c r="M117" s="27">
        <v>80</v>
      </c>
      <c r="N117" s="169">
        <f t="shared" si="11"/>
        <v>0.91954022988505746</v>
      </c>
      <c r="O117" s="27">
        <v>247</v>
      </c>
      <c r="P117" s="27">
        <v>235</v>
      </c>
      <c r="Q117" s="169">
        <f t="shared" si="12"/>
        <v>0.95141700404858298</v>
      </c>
      <c r="R117" s="27">
        <v>0</v>
      </c>
    </row>
    <row r="118" spans="1:18" s="186" customFormat="1" ht="12.75" customHeight="1" x14ac:dyDescent="0.25">
      <c r="A118" s="1">
        <v>42552</v>
      </c>
      <c r="B118" s="7">
        <v>0.9</v>
      </c>
      <c r="C118" s="27">
        <v>387</v>
      </c>
      <c r="D118" s="27">
        <v>329</v>
      </c>
      <c r="E118" s="169">
        <f t="shared" si="4"/>
        <v>0.85012919896640826</v>
      </c>
      <c r="F118" s="27">
        <v>12</v>
      </c>
      <c r="G118" s="27">
        <v>11</v>
      </c>
      <c r="H118" s="169">
        <f t="shared" si="9"/>
        <v>0.91666666666666663</v>
      </c>
      <c r="I118" s="27">
        <v>158</v>
      </c>
      <c r="J118" s="27">
        <v>119</v>
      </c>
      <c r="K118" s="169">
        <f t="shared" si="10"/>
        <v>0.75316455696202533</v>
      </c>
      <c r="L118" s="27">
        <v>86</v>
      </c>
      <c r="M118" s="27">
        <v>79</v>
      </c>
      <c r="N118" s="169">
        <f t="shared" si="11"/>
        <v>0.91860465116279066</v>
      </c>
      <c r="O118" s="27">
        <v>131</v>
      </c>
      <c r="P118" s="27">
        <v>120</v>
      </c>
      <c r="Q118" s="169">
        <f t="shared" si="12"/>
        <v>0.91603053435114501</v>
      </c>
      <c r="R118" s="27">
        <v>2</v>
      </c>
    </row>
    <row r="119" spans="1:18" s="186" customFormat="1" ht="12.75" customHeight="1" x14ac:dyDescent="0.25">
      <c r="A119" s="1">
        <v>42583</v>
      </c>
      <c r="B119" s="7">
        <v>0.9</v>
      </c>
      <c r="C119" s="27">
        <v>660</v>
      </c>
      <c r="D119" s="27">
        <v>514</v>
      </c>
      <c r="E119" s="169">
        <f t="shared" si="4"/>
        <v>0.77878787878787881</v>
      </c>
      <c r="F119" s="27">
        <v>13</v>
      </c>
      <c r="G119" s="27">
        <v>7</v>
      </c>
      <c r="H119" s="169">
        <f t="shared" si="9"/>
        <v>0.53846153846153844</v>
      </c>
      <c r="I119" s="27">
        <v>340</v>
      </c>
      <c r="J119" s="27">
        <v>240</v>
      </c>
      <c r="K119" s="169">
        <f t="shared" si="10"/>
        <v>0.70588235294117652</v>
      </c>
      <c r="L119" s="27">
        <v>86</v>
      </c>
      <c r="M119" s="27">
        <v>75</v>
      </c>
      <c r="N119" s="169">
        <f t="shared" si="11"/>
        <v>0.87209302325581395</v>
      </c>
      <c r="O119" s="27">
        <v>221</v>
      </c>
      <c r="P119" s="27">
        <v>192</v>
      </c>
      <c r="Q119" s="169">
        <f t="shared" si="12"/>
        <v>0.86877828054298645</v>
      </c>
      <c r="R119" s="27">
        <v>0</v>
      </c>
    </row>
    <row r="140" spans="1:27" x14ac:dyDescent="0.25">
      <c r="N140" s="86"/>
      <c r="O140" s="86"/>
      <c r="P140" s="86"/>
      <c r="Q140" s="86"/>
      <c r="R140" s="86"/>
    </row>
    <row r="141" spans="1:27" x14ac:dyDescent="0.25">
      <c r="A141" s="2"/>
      <c r="B141" s="3" t="s">
        <v>162</v>
      </c>
      <c r="C141" s="3"/>
      <c r="D141" s="127"/>
      <c r="E141" s="127"/>
      <c r="F141" s="128"/>
      <c r="G141" s="129"/>
      <c r="H141" s="129"/>
      <c r="J141" s="3"/>
      <c r="N141" s="130"/>
      <c r="O141" s="130"/>
      <c r="P141" s="131"/>
      <c r="Q141" s="132"/>
      <c r="R141" s="132"/>
      <c r="T141" s="2"/>
      <c r="U141" s="3" t="s">
        <v>162</v>
      </c>
      <c r="V141" s="3"/>
      <c r="W141" s="127"/>
      <c r="X141" s="127"/>
      <c r="Y141" s="128"/>
      <c r="Z141" s="129"/>
      <c r="AA141" s="129"/>
    </row>
    <row r="142" spans="1:27" s="3" customFormat="1" x14ac:dyDescent="0.25">
      <c r="A142" s="3" t="s">
        <v>57</v>
      </c>
      <c r="B142" s="107" t="s">
        <v>0</v>
      </c>
      <c r="C142" s="107" t="s">
        <v>166</v>
      </c>
      <c r="D142" s="107" t="s">
        <v>167</v>
      </c>
      <c r="E142" s="3" t="s">
        <v>171</v>
      </c>
      <c r="F142" s="3" t="s">
        <v>169</v>
      </c>
      <c r="G142" s="3" t="s">
        <v>170</v>
      </c>
      <c r="H142" s="3" t="s">
        <v>176</v>
      </c>
      <c r="J142" s="107"/>
      <c r="L142" s="107"/>
      <c r="M142" s="107"/>
      <c r="N142" s="86"/>
      <c r="O142" s="86"/>
      <c r="P142" s="86"/>
      <c r="Q142" s="86"/>
      <c r="R142" s="86"/>
      <c r="T142" s="3" t="s">
        <v>57</v>
      </c>
      <c r="U142" s="107" t="s">
        <v>0</v>
      </c>
      <c r="V142" s="107" t="s">
        <v>166</v>
      </c>
      <c r="W142" s="107" t="s">
        <v>167</v>
      </c>
      <c r="X142" s="3" t="s">
        <v>171</v>
      </c>
      <c r="Y142" s="3" t="s">
        <v>169</v>
      </c>
      <c r="Z142" s="3" t="s">
        <v>170</v>
      </c>
      <c r="AA142" s="3" t="s">
        <v>176</v>
      </c>
    </row>
    <row r="143" spans="1:27" hidden="1" x14ac:dyDescent="0.25">
      <c r="A143" s="12">
        <v>41061</v>
      </c>
      <c r="B143" s="63">
        <f>SUM(C143:J143)</f>
        <v>615</v>
      </c>
      <c r="C143" s="63">
        <v>358</v>
      </c>
      <c r="D143" s="63">
        <v>83</v>
      </c>
      <c r="E143" s="63">
        <v>76</v>
      </c>
      <c r="F143" s="63">
        <v>48</v>
      </c>
      <c r="G143" s="63">
        <v>44</v>
      </c>
      <c r="H143" s="63">
        <v>6</v>
      </c>
      <c r="J143" s="63"/>
      <c r="K143" s="54"/>
      <c r="L143" s="37"/>
      <c r="M143" s="37"/>
      <c r="N143" s="133"/>
      <c r="O143" s="134"/>
      <c r="P143" s="134"/>
      <c r="Q143" s="134"/>
      <c r="R143" s="134"/>
      <c r="T143" s="12">
        <v>41061</v>
      </c>
      <c r="U143" s="63">
        <f>SUM(V143:AC143)</f>
        <v>615</v>
      </c>
      <c r="V143" s="63">
        <v>358</v>
      </c>
      <c r="W143" s="63">
        <v>83</v>
      </c>
      <c r="X143" s="63">
        <v>76</v>
      </c>
      <c r="Y143" s="63">
        <v>48</v>
      </c>
      <c r="Z143" s="63">
        <v>44</v>
      </c>
      <c r="AA143" s="63">
        <v>6</v>
      </c>
    </row>
    <row r="144" spans="1:27" hidden="1" x14ac:dyDescent="0.25">
      <c r="A144" s="12">
        <v>41091</v>
      </c>
      <c r="B144" s="63">
        <f>SUM(C144:J144)</f>
        <v>700</v>
      </c>
      <c r="C144" s="63">
        <v>380</v>
      </c>
      <c r="D144" s="63">
        <v>165</v>
      </c>
      <c r="E144" s="63">
        <v>53</v>
      </c>
      <c r="F144" s="63">
        <v>43</v>
      </c>
      <c r="G144" s="63">
        <v>53</v>
      </c>
      <c r="H144" s="63">
        <v>6</v>
      </c>
      <c r="J144" s="63"/>
      <c r="L144" s="37"/>
      <c r="M144" s="37"/>
      <c r="N144" s="37"/>
      <c r="O144" s="37"/>
      <c r="P144" s="37"/>
      <c r="Q144" s="37"/>
      <c r="R144" s="37"/>
      <c r="T144" s="12">
        <v>41091</v>
      </c>
      <c r="U144" s="63">
        <f>SUM(V144:AC144)</f>
        <v>700</v>
      </c>
      <c r="V144" s="63">
        <v>380</v>
      </c>
      <c r="W144" s="63">
        <v>165</v>
      </c>
      <c r="X144" s="63">
        <v>53</v>
      </c>
      <c r="Y144" s="63">
        <v>43</v>
      </c>
      <c r="Z144" s="63">
        <v>53</v>
      </c>
      <c r="AA144" s="63">
        <v>6</v>
      </c>
    </row>
    <row r="145" spans="1:27" hidden="1" x14ac:dyDescent="0.25">
      <c r="A145" s="12">
        <v>41122</v>
      </c>
      <c r="B145" s="38">
        <v>697</v>
      </c>
      <c r="C145" s="64">
        <v>339</v>
      </c>
      <c r="D145" s="63">
        <v>107</v>
      </c>
      <c r="E145" s="63">
        <v>154</v>
      </c>
      <c r="F145" s="63">
        <v>41</v>
      </c>
      <c r="G145" s="63">
        <v>50</v>
      </c>
      <c r="H145" s="63">
        <v>6</v>
      </c>
      <c r="J145" s="64"/>
      <c r="L145" s="38"/>
      <c r="M145" s="38"/>
      <c r="N145" s="37"/>
      <c r="T145" s="12">
        <v>41122</v>
      </c>
      <c r="U145" s="38">
        <v>697</v>
      </c>
      <c r="V145" s="64">
        <v>339</v>
      </c>
      <c r="W145" s="63">
        <v>107</v>
      </c>
      <c r="X145" s="63">
        <v>154</v>
      </c>
      <c r="Y145" s="63">
        <v>41</v>
      </c>
      <c r="Z145" s="63">
        <v>50</v>
      </c>
      <c r="AA145" s="63">
        <v>6</v>
      </c>
    </row>
    <row r="146" spans="1:27" hidden="1" x14ac:dyDescent="0.25">
      <c r="A146" s="12">
        <v>41153</v>
      </c>
      <c r="B146" s="63">
        <v>611</v>
      </c>
      <c r="C146" s="63">
        <v>279</v>
      </c>
      <c r="D146" s="63">
        <v>60</v>
      </c>
      <c r="E146" s="63">
        <v>36</v>
      </c>
      <c r="F146" s="63">
        <v>175</v>
      </c>
      <c r="G146" s="63">
        <v>46</v>
      </c>
      <c r="H146" s="63">
        <v>15</v>
      </c>
      <c r="J146" s="63"/>
      <c r="N146" s="39"/>
      <c r="O146" s="37"/>
      <c r="P146" s="37"/>
      <c r="Q146" s="37"/>
      <c r="R146" s="37"/>
      <c r="T146" s="12">
        <v>41153</v>
      </c>
      <c r="U146" s="63">
        <v>611</v>
      </c>
      <c r="V146" s="63">
        <v>279</v>
      </c>
      <c r="W146" s="63">
        <v>60</v>
      </c>
      <c r="X146" s="63">
        <v>36</v>
      </c>
      <c r="Y146" s="63">
        <v>175</v>
      </c>
      <c r="Z146" s="63">
        <v>46</v>
      </c>
      <c r="AA146" s="63">
        <v>15</v>
      </c>
    </row>
    <row r="147" spans="1:27" hidden="1" x14ac:dyDescent="0.25">
      <c r="A147" s="12">
        <v>41183</v>
      </c>
      <c r="B147" s="37">
        <v>299</v>
      </c>
      <c r="C147" s="37">
        <v>252</v>
      </c>
      <c r="D147" s="37">
        <v>34</v>
      </c>
      <c r="E147" s="37">
        <v>7</v>
      </c>
      <c r="F147" s="37">
        <v>5</v>
      </c>
      <c r="G147" s="37">
        <v>1</v>
      </c>
      <c r="H147" s="37">
        <v>0</v>
      </c>
      <c r="J147" s="187"/>
      <c r="T147" s="12">
        <v>41183</v>
      </c>
      <c r="U147" s="187">
        <v>299</v>
      </c>
      <c r="V147" s="187">
        <v>252</v>
      </c>
      <c r="W147" s="187">
        <v>34</v>
      </c>
      <c r="X147" s="187">
        <v>7</v>
      </c>
      <c r="Y147" s="187">
        <v>5</v>
      </c>
      <c r="Z147" s="187">
        <v>1</v>
      </c>
      <c r="AA147" s="187">
        <v>0</v>
      </c>
    </row>
    <row r="148" spans="1:27" hidden="1" x14ac:dyDescent="0.25">
      <c r="A148" s="12">
        <v>41214</v>
      </c>
      <c r="B148" s="37">
        <v>311</v>
      </c>
      <c r="C148" s="37">
        <v>191</v>
      </c>
      <c r="D148" s="37">
        <v>90</v>
      </c>
      <c r="E148" s="37">
        <v>21</v>
      </c>
      <c r="F148" s="37">
        <v>9</v>
      </c>
      <c r="G148" s="37">
        <v>0</v>
      </c>
      <c r="H148" s="37">
        <v>0</v>
      </c>
      <c r="J148" s="187"/>
      <c r="T148" s="12">
        <v>41214</v>
      </c>
      <c r="U148" s="187">
        <v>311</v>
      </c>
      <c r="V148" s="187">
        <v>191</v>
      </c>
      <c r="W148" s="187">
        <v>90</v>
      </c>
      <c r="X148" s="187">
        <v>21</v>
      </c>
      <c r="Y148" s="187">
        <v>9</v>
      </c>
      <c r="Z148" s="187">
        <v>0</v>
      </c>
      <c r="AA148" s="187">
        <v>0</v>
      </c>
    </row>
    <row r="149" spans="1:27" hidden="1" x14ac:dyDescent="0.25">
      <c r="A149" s="12">
        <v>41244</v>
      </c>
      <c r="B149" s="37">
        <v>290</v>
      </c>
      <c r="C149" s="37">
        <v>166</v>
      </c>
      <c r="D149" s="37">
        <v>57</v>
      </c>
      <c r="E149" s="37">
        <v>47</v>
      </c>
      <c r="F149" s="37">
        <v>20</v>
      </c>
      <c r="G149" s="37">
        <v>0</v>
      </c>
      <c r="H149" s="37">
        <v>0</v>
      </c>
      <c r="J149" s="187"/>
      <c r="T149" s="12">
        <v>41244</v>
      </c>
      <c r="U149" s="187">
        <v>290</v>
      </c>
      <c r="V149" s="187">
        <v>166</v>
      </c>
      <c r="W149" s="187">
        <v>57</v>
      </c>
      <c r="X149" s="187">
        <v>47</v>
      </c>
      <c r="Y149" s="187">
        <v>20</v>
      </c>
      <c r="Z149" s="187">
        <v>0</v>
      </c>
      <c r="AA149" s="187">
        <v>0</v>
      </c>
    </row>
    <row r="150" spans="1:27" hidden="1" x14ac:dyDescent="0.25">
      <c r="A150" s="12">
        <v>41275</v>
      </c>
      <c r="B150" s="37">
        <v>346</v>
      </c>
      <c r="C150" s="37">
        <v>225</v>
      </c>
      <c r="D150" s="37">
        <v>52</v>
      </c>
      <c r="E150" s="37">
        <v>18</v>
      </c>
      <c r="F150" s="37">
        <v>49</v>
      </c>
      <c r="G150" s="37">
        <v>2</v>
      </c>
      <c r="H150" s="37">
        <v>0</v>
      </c>
      <c r="J150" s="187"/>
      <c r="T150" s="12">
        <v>41275</v>
      </c>
      <c r="U150" s="187">
        <v>346</v>
      </c>
      <c r="V150" s="187">
        <v>225</v>
      </c>
      <c r="W150" s="187">
        <v>52</v>
      </c>
      <c r="X150" s="187">
        <v>18</v>
      </c>
      <c r="Y150" s="187">
        <v>49</v>
      </c>
      <c r="Z150" s="187">
        <v>2</v>
      </c>
      <c r="AA150" s="187">
        <v>0</v>
      </c>
    </row>
    <row r="151" spans="1:27" hidden="1" x14ac:dyDescent="0.25">
      <c r="A151" s="12">
        <v>41306</v>
      </c>
      <c r="B151" s="37">
        <v>377</v>
      </c>
      <c r="C151" s="37">
        <v>198</v>
      </c>
      <c r="D151" s="37">
        <v>81</v>
      </c>
      <c r="E151" s="37">
        <v>37</v>
      </c>
      <c r="F151" s="37">
        <v>57</v>
      </c>
      <c r="G151" s="37">
        <v>2</v>
      </c>
      <c r="H151" s="37">
        <v>2</v>
      </c>
      <c r="J151" s="187"/>
      <c r="T151" s="12">
        <v>41306</v>
      </c>
      <c r="U151" s="187">
        <v>377</v>
      </c>
      <c r="V151" s="187">
        <v>198</v>
      </c>
      <c r="W151" s="187">
        <v>81</v>
      </c>
      <c r="X151" s="187">
        <v>37</v>
      </c>
      <c r="Y151" s="187">
        <v>57</v>
      </c>
      <c r="Z151" s="187">
        <v>2</v>
      </c>
      <c r="AA151" s="187">
        <v>2</v>
      </c>
    </row>
    <row r="152" spans="1:27" hidden="1" x14ac:dyDescent="0.25">
      <c r="A152" s="12">
        <v>41334</v>
      </c>
      <c r="B152" s="37">
        <v>286</v>
      </c>
      <c r="C152" s="37">
        <v>163</v>
      </c>
      <c r="D152" s="37">
        <v>53</v>
      </c>
      <c r="E152" s="37">
        <v>31</v>
      </c>
      <c r="F152" s="37">
        <v>32</v>
      </c>
      <c r="G152" s="37">
        <v>5</v>
      </c>
      <c r="H152" s="37">
        <v>2</v>
      </c>
      <c r="J152" s="187"/>
      <c r="T152" s="12">
        <v>41334</v>
      </c>
      <c r="U152" s="187">
        <v>286</v>
      </c>
      <c r="V152" s="187">
        <v>163</v>
      </c>
      <c r="W152" s="187">
        <v>53</v>
      </c>
      <c r="X152" s="187">
        <v>31</v>
      </c>
      <c r="Y152" s="187">
        <v>32</v>
      </c>
      <c r="Z152" s="187">
        <v>5</v>
      </c>
      <c r="AA152" s="187">
        <v>2</v>
      </c>
    </row>
    <row r="153" spans="1:27" hidden="1" x14ac:dyDescent="0.25">
      <c r="A153" s="12">
        <v>41365</v>
      </c>
      <c r="B153" s="37">
        <v>285</v>
      </c>
      <c r="C153" s="37">
        <v>226</v>
      </c>
      <c r="D153" s="37">
        <v>27</v>
      </c>
      <c r="E153" s="37">
        <v>24</v>
      </c>
      <c r="F153" s="37">
        <v>4</v>
      </c>
      <c r="G153" s="37">
        <v>2</v>
      </c>
      <c r="H153" s="37">
        <v>2</v>
      </c>
      <c r="J153" s="187"/>
      <c r="T153" s="12">
        <v>41365</v>
      </c>
      <c r="U153" s="187">
        <v>285</v>
      </c>
      <c r="V153" s="187">
        <v>226</v>
      </c>
      <c r="W153" s="187">
        <v>27</v>
      </c>
      <c r="X153" s="187">
        <v>24</v>
      </c>
      <c r="Y153" s="187">
        <v>4</v>
      </c>
      <c r="Z153" s="187">
        <v>2</v>
      </c>
      <c r="AA153" s="187">
        <v>2</v>
      </c>
    </row>
    <row r="154" spans="1:27" hidden="1" x14ac:dyDescent="0.25">
      <c r="A154" s="12">
        <v>41395</v>
      </c>
      <c r="B154" s="37">
        <v>533</v>
      </c>
      <c r="C154" s="37">
        <v>438</v>
      </c>
      <c r="D154" s="37">
        <v>52</v>
      </c>
      <c r="E154" s="37">
        <v>19</v>
      </c>
      <c r="F154" s="37">
        <v>20</v>
      </c>
      <c r="G154" s="37">
        <v>2</v>
      </c>
      <c r="H154" s="37">
        <v>2</v>
      </c>
      <c r="J154" s="187"/>
      <c r="T154" s="12">
        <v>41395</v>
      </c>
      <c r="U154" s="187">
        <v>533</v>
      </c>
      <c r="V154" s="187">
        <v>438</v>
      </c>
      <c r="W154" s="187">
        <v>52</v>
      </c>
      <c r="X154" s="187">
        <v>19</v>
      </c>
      <c r="Y154" s="187">
        <v>20</v>
      </c>
      <c r="Z154" s="187">
        <v>2</v>
      </c>
      <c r="AA154" s="187">
        <v>2</v>
      </c>
    </row>
    <row r="155" spans="1:27" hidden="1" x14ac:dyDescent="0.25">
      <c r="A155" s="12">
        <v>41426</v>
      </c>
      <c r="B155" s="37">
        <v>461</v>
      </c>
      <c r="C155" s="37">
        <v>241</v>
      </c>
      <c r="D155" s="37">
        <v>150</v>
      </c>
      <c r="E155" s="37">
        <v>34</v>
      </c>
      <c r="F155" s="37">
        <v>30</v>
      </c>
      <c r="G155" s="37">
        <v>3</v>
      </c>
      <c r="H155" s="37">
        <v>3</v>
      </c>
      <c r="J155" s="187"/>
      <c r="T155" s="12">
        <v>41426</v>
      </c>
      <c r="U155" s="187">
        <v>461</v>
      </c>
      <c r="V155" s="187">
        <v>241</v>
      </c>
      <c r="W155" s="187">
        <v>150</v>
      </c>
      <c r="X155" s="187">
        <v>34</v>
      </c>
      <c r="Y155" s="187">
        <v>30</v>
      </c>
      <c r="Z155" s="187">
        <v>3</v>
      </c>
      <c r="AA155" s="187">
        <v>3</v>
      </c>
    </row>
    <row r="156" spans="1:27" hidden="1" x14ac:dyDescent="0.25">
      <c r="A156" s="12">
        <v>41456</v>
      </c>
      <c r="B156" s="37">
        <v>531</v>
      </c>
      <c r="C156" s="37">
        <v>350</v>
      </c>
      <c r="D156" s="37">
        <v>60</v>
      </c>
      <c r="E156" s="37">
        <v>86</v>
      </c>
      <c r="F156" s="37">
        <v>31</v>
      </c>
      <c r="G156" s="37">
        <v>3</v>
      </c>
      <c r="H156" s="37">
        <v>1</v>
      </c>
      <c r="J156" s="187"/>
      <c r="T156" s="12">
        <v>41456</v>
      </c>
      <c r="U156" s="187">
        <v>531</v>
      </c>
      <c r="V156" s="187">
        <v>350</v>
      </c>
      <c r="W156" s="187">
        <v>60</v>
      </c>
      <c r="X156" s="187">
        <v>86</v>
      </c>
      <c r="Y156" s="187">
        <v>31</v>
      </c>
      <c r="Z156" s="187">
        <v>3</v>
      </c>
      <c r="AA156" s="187">
        <v>1</v>
      </c>
    </row>
    <row r="157" spans="1:27" hidden="1" x14ac:dyDescent="0.25">
      <c r="A157" s="12">
        <v>41487</v>
      </c>
      <c r="B157" s="37">
        <v>644</v>
      </c>
      <c r="C157" s="37">
        <v>450</v>
      </c>
      <c r="D157" s="37">
        <v>130</v>
      </c>
      <c r="E157" s="37">
        <v>18</v>
      </c>
      <c r="F157" s="37">
        <v>42</v>
      </c>
      <c r="G157" s="37">
        <v>3</v>
      </c>
      <c r="H157" s="37">
        <v>1</v>
      </c>
      <c r="J157" s="187"/>
      <c r="T157" s="12">
        <v>41487</v>
      </c>
      <c r="U157" s="187">
        <v>644</v>
      </c>
      <c r="V157" s="187">
        <v>450</v>
      </c>
      <c r="W157" s="187">
        <v>130</v>
      </c>
      <c r="X157" s="187">
        <v>18</v>
      </c>
      <c r="Y157" s="187">
        <v>42</v>
      </c>
      <c r="Z157" s="187">
        <v>3</v>
      </c>
      <c r="AA157" s="187">
        <v>1</v>
      </c>
    </row>
    <row r="158" spans="1:27" hidden="1" x14ac:dyDescent="0.25">
      <c r="A158" s="12">
        <v>41518</v>
      </c>
      <c r="B158" s="37">
        <v>502</v>
      </c>
      <c r="C158" s="37">
        <v>301</v>
      </c>
      <c r="D158" s="37">
        <v>152</v>
      </c>
      <c r="E158" s="37">
        <v>46</v>
      </c>
      <c r="F158" s="37">
        <v>2</v>
      </c>
      <c r="G158" s="37">
        <v>1</v>
      </c>
      <c r="H158" s="37">
        <v>0</v>
      </c>
      <c r="J158" s="187"/>
      <c r="T158" s="12">
        <v>41518</v>
      </c>
      <c r="U158" s="187">
        <v>502</v>
      </c>
      <c r="V158" s="187">
        <v>301</v>
      </c>
      <c r="W158" s="187">
        <v>152</v>
      </c>
      <c r="X158" s="187">
        <v>46</v>
      </c>
      <c r="Y158" s="187">
        <v>2</v>
      </c>
      <c r="Z158" s="187">
        <v>1</v>
      </c>
      <c r="AA158" s="187">
        <v>0</v>
      </c>
    </row>
    <row r="159" spans="1:27" hidden="1" x14ac:dyDescent="0.25">
      <c r="A159" s="12">
        <v>41548</v>
      </c>
      <c r="B159" s="37">
        <v>342</v>
      </c>
      <c r="C159" s="37">
        <v>313</v>
      </c>
      <c r="D159" s="37">
        <v>18</v>
      </c>
      <c r="E159" s="37">
        <v>6</v>
      </c>
      <c r="F159" s="37">
        <v>4</v>
      </c>
      <c r="G159" s="37">
        <v>1</v>
      </c>
      <c r="H159" s="37">
        <v>0</v>
      </c>
      <c r="J159" s="187"/>
      <c r="T159" s="12">
        <v>41548</v>
      </c>
      <c r="U159" s="187">
        <v>342</v>
      </c>
      <c r="V159" s="187">
        <v>313</v>
      </c>
      <c r="W159" s="187">
        <v>18</v>
      </c>
      <c r="X159" s="187">
        <v>6</v>
      </c>
      <c r="Y159" s="187">
        <v>4</v>
      </c>
      <c r="Z159" s="187">
        <v>1</v>
      </c>
      <c r="AA159" s="187">
        <v>0</v>
      </c>
    </row>
    <row r="160" spans="1:27" hidden="1" x14ac:dyDescent="0.25">
      <c r="A160" s="12">
        <v>41579</v>
      </c>
      <c r="B160" s="37">
        <v>279</v>
      </c>
      <c r="C160" s="37">
        <v>182</v>
      </c>
      <c r="D160" s="37">
        <v>72</v>
      </c>
      <c r="E160" s="37">
        <v>16</v>
      </c>
      <c r="F160" s="37">
        <v>8</v>
      </c>
      <c r="G160" s="37">
        <v>1</v>
      </c>
      <c r="H160" s="37">
        <v>0</v>
      </c>
      <c r="J160" s="187"/>
      <c r="T160" s="12">
        <v>41579</v>
      </c>
      <c r="U160" s="187">
        <v>279</v>
      </c>
      <c r="V160" s="187">
        <v>182</v>
      </c>
      <c r="W160" s="187">
        <v>72</v>
      </c>
      <c r="X160" s="187">
        <v>16</v>
      </c>
      <c r="Y160" s="187">
        <v>8</v>
      </c>
      <c r="Z160" s="187">
        <v>1</v>
      </c>
      <c r="AA160" s="187">
        <v>0</v>
      </c>
    </row>
    <row r="161" spans="1:27" hidden="1" x14ac:dyDescent="0.25">
      <c r="A161" s="12">
        <v>41609</v>
      </c>
      <c r="B161" s="37">
        <v>285</v>
      </c>
      <c r="C161" s="37">
        <v>192</v>
      </c>
      <c r="D161" s="37">
        <v>48</v>
      </c>
      <c r="E161" s="37">
        <v>40</v>
      </c>
      <c r="F161" s="37">
        <v>5</v>
      </c>
      <c r="G161" s="37">
        <v>0</v>
      </c>
      <c r="H161" s="37">
        <v>0</v>
      </c>
      <c r="J161" s="187"/>
      <c r="T161" s="12">
        <v>41609</v>
      </c>
      <c r="U161" s="187">
        <v>285</v>
      </c>
      <c r="V161" s="187">
        <v>192</v>
      </c>
      <c r="W161" s="187">
        <v>48</v>
      </c>
      <c r="X161" s="187">
        <v>40</v>
      </c>
      <c r="Y161" s="187">
        <v>5</v>
      </c>
      <c r="Z161" s="187">
        <v>0</v>
      </c>
      <c r="AA161" s="187">
        <v>0</v>
      </c>
    </row>
    <row r="162" spans="1:27" hidden="1" x14ac:dyDescent="0.25">
      <c r="A162" s="12">
        <v>41640</v>
      </c>
      <c r="B162" s="37">
        <v>395</v>
      </c>
      <c r="C162" s="37">
        <v>245</v>
      </c>
      <c r="D162" s="37">
        <v>73</v>
      </c>
      <c r="E162" s="37">
        <v>38</v>
      </c>
      <c r="F162" s="37">
        <v>39</v>
      </c>
      <c r="G162" s="37">
        <v>0</v>
      </c>
      <c r="H162" s="37">
        <v>0</v>
      </c>
      <c r="J162" s="187"/>
      <c r="T162" s="12">
        <v>41640</v>
      </c>
      <c r="U162" s="187">
        <v>395</v>
      </c>
      <c r="V162" s="187">
        <v>245</v>
      </c>
      <c r="W162" s="187">
        <v>73</v>
      </c>
      <c r="X162" s="187">
        <v>38</v>
      </c>
      <c r="Y162" s="187">
        <v>39</v>
      </c>
      <c r="Z162" s="187">
        <v>0</v>
      </c>
      <c r="AA162" s="187">
        <v>0</v>
      </c>
    </row>
    <row r="163" spans="1:27" hidden="1" x14ac:dyDescent="0.25">
      <c r="A163" s="12">
        <v>41671</v>
      </c>
      <c r="B163" s="37">
        <v>309</v>
      </c>
      <c r="C163" s="37">
        <v>167</v>
      </c>
      <c r="D163" s="37">
        <v>59</v>
      </c>
      <c r="E163" s="37">
        <v>27</v>
      </c>
      <c r="F163" s="37">
        <v>55</v>
      </c>
      <c r="G163" s="37">
        <v>1</v>
      </c>
      <c r="H163" s="37">
        <v>0</v>
      </c>
      <c r="J163" s="187"/>
      <c r="T163" s="12">
        <v>41671</v>
      </c>
      <c r="U163" s="187">
        <v>309</v>
      </c>
      <c r="V163" s="187">
        <v>167</v>
      </c>
      <c r="W163" s="187">
        <v>59</v>
      </c>
      <c r="X163" s="187">
        <v>27</v>
      </c>
      <c r="Y163" s="187">
        <v>55</v>
      </c>
      <c r="Z163" s="187">
        <v>1</v>
      </c>
      <c r="AA163" s="187">
        <v>0</v>
      </c>
    </row>
    <row r="164" spans="1:27" hidden="1" x14ac:dyDescent="0.25">
      <c r="A164" s="12">
        <v>41699</v>
      </c>
      <c r="B164" s="37">
        <v>322</v>
      </c>
      <c r="C164" s="37">
        <v>135</v>
      </c>
      <c r="D164" s="37">
        <v>74</v>
      </c>
      <c r="E164" s="37">
        <v>47</v>
      </c>
      <c r="F164" s="37">
        <v>63</v>
      </c>
      <c r="G164" s="37">
        <v>3</v>
      </c>
      <c r="H164" s="37">
        <v>0</v>
      </c>
      <c r="J164" s="187"/>
      <c r="T164" s="12">
        <v>41699</v>
      </c>
      <c r="U164" s="187">
        <v>322</v>
      </c>
      <c r="V164" s="187">
        <v>135</v>
      </c>
      <c r="W164" s="187">
        <v>74</v>
      </c>
      <c r="X164" s="187">
        <v>47</v>
      </c>
      <c r="Y164" s="187">
        <v>63</v>
      </c>
      <c r="Z164" s="187">
        <v>3</v>
      </c>
      <c r="AA164" s="187">
        <v>0</v>
      </c>
    </row>
    <row r="165" spans="1:27" hidden="1" x14ac:dyDescent="0.25">
      <c r="A165" s="12">
        <v>41730</v>
      </c>
      <c r="B165" s="37">
        <v>369</v>
      </c>
      <c r="C165" s="37">
        <v>228</v>
      </c>
      <c r="D165" s="37">
        <v>26</v>
      </c>
      <c r="E165" s="37">
        <v>41</v>
      </c>
      <c r="F165" s="37">
        <v>44</v>
      </c>
      <c r="G165" s="37">
        <v>30</v>
      </c>
      <c r="H165" s="37">
        <v>0</v>
      </c>
      <c r="J165" s="187"/>
      <c r="T165" s="12">
        <v>41730</v>
      </c>
      <c r="U165" s="187">
        <v>369</v>
      </c>
      <c r="V165" s="187">
        <v>228</v>
      </c>
      <c r="W165" s="187">
        <v>26</v>
      </c>
      <c r="X165" s="187">
        <v>41</v>
      </c>
      <c r="Y165" s="187">
        <v>44</v>
      </c>
      <c r="Z165" s="187">
        <v>30</v>
      </c>
      <c r="AA165" s="187">
        <v>0</v>
      </c>
    </row>
    <row r="166" spans="1:27" hidden="1" x14ac:dyDescent="0.25">
      <c r="A166" s="12">
        <v>41760</v>
      </c>
      <c r="B166" s="37">
        <v>346</v>
      </c>
      <c r="C166" s="37">
        <v>257</v>
      </c>
      <c r="D166" s="37">
        <v>34</v>
      </c>
      <c r="E166" s="37">
        <v>13</v>
      </c>
      <c r="F166" s="37">
        <v>18</v>
      </c>
      <c r="G166" s="37">
        <v>24</v>
      </c>
      <c r="H166" s="37">
        <v>0</v>
      </c>
      <c r="J166" s="187"/>
      <c r="N166" s="186"/>
      <c r="T166" s="12">
        <v>41760</v>
      </c>
      <c r="U166" s="187">
        <v>346</v>
      </c>
      <c r="V166" s="187">
        <v>257</v>
      </c>
      <c r="W166" s="187">
        <v>34</v>
      </c>
      <c r="X166" s="187">
        <v>13</v>
      </c>
      <c r="Y166" s="187">
        <v>18</v>
      </c>
      <c r="Z166" s="187">
        <v>24</v>
      </c>
      <c r="AA166" s="187">
        <v>0</v>
      </c>
    </row>
    <row r="167" spans="1:27" hidden="1" x14ac:dyDescent="0.25">
      <c r="A167" s="12">
        <v>41791</v>
      </c>
      <c r="B167" s="37">
        <v>248</v>
      </c>
      <c r="C167" s="37">
        <v>198</v>
      </c>
      <c r="D167" s="37">
        <v>43</v>
      </c>
      <c r="E167" s="37">
        <v>3</v>
      </c>
      <c r="F167" s="37">
        <v>2</v>
      </c>
      <c r="G167" s="37">
        <v>2</v>
      </c>
      <c r="H167" s="37">
        <v>0</v>
      </c>
      <c r="J167" s="187"/>
      <c r="T167" s="12">
        <v>41791</v>
      </c>
      <c r="U167" s="187">
        <v>248</v>
      </c>
      <c r="V167" s="187">
        <v>198</v>
      </c>
      <c r="W167" s="187">
        <v>43</v>
      </c>
      <c r="X167" s="187">
        <v>3</v>
      </c>
      <c r="Y167" s="187">
        <v>2</v>
      </c>
      <c r="Z167" s="187">
        <v>2</v>
      </c>
      <c r="AA167" s="187">
        <v>0</v>
      </c>
    </row>
    <row r="168" spans="1:27" hidden="1" x14ac:dyDescent="0.25">
      <c r="A168" s="12">
        <v>41821</v>
      </c>
      <c r="B168" s="37">
        <v>232</v>
      </c>
      <c r="C168" s="37">
        <v>128</v>
      </c>
      <c r="D168" s="37">
        <v>78</v>
      </c>
      <c r="E168" s="37">
        <v>19</v>
      </c>
      <c r="F168" s="37">
        <v>5</v>
      </c>
      <c r="G168" s="37">
        <v>2</v>
      </c>
      <c r="H168" s="37">
        <v>0</v>
      </c>
      <c r="J168" s="187"/>
      <c r="T168" s="12">
        <v>41821</v>
      </c>
      <c r="U168" s="187">
        <v>232</v>
      </c>
      <c r="V168" s="187">
        <v>128</v>
      </c>
      <c r="W168" s="187">
        <v>78</v>
      </c>
      <c r="X168" s="187">
        <v>19</v>
      </c>
      <c r="Y168" s="187">
        <v>5</v>
      </c>
      <c r="Z168" s="187">
        <v>2</v>
      </c>
      <c r="AA168" s="187">
        <v>0</v>
      </c>
    </row>
    <row r="169" spans="1:27" hidden="1" x14ac:dyDescent="0.25">
      <c r="A169" s="12">
        <v>41852</v>
      </c>
      <c r="B169" s="37">
        <v>333</v>
      </c>
      <c r="C169" s="37">
        <v>236</v>
      </c>
      <c r="D169" s="37">
        <v>32</v>
      </c>
      <c r="E169" s="37">
        <v>49</v>
      </c>
      <c r="F169" s="37">
        <v>14</v>
      </c>
      <c r="G169" s="37">
        <v>2</v>
      </c>
      <c r="H169" s="37">
        <v>0</v>
      </c>
      <c r="J169" s="187"/>
      <c r="T169" s="12">
        <v>41852</v>
      </c>
      <c r="U169" s="187">
        <v>333</v>
      </c>
      <c r="V169" s="187">
        <v>236</v>
      </c>
      <c r="W169" s="187">
        <v>32</v>
      </c>
      <c r="X169" s="187">
        <v>49</v>
      </c>
      <c r="Y169" s="187">
        <v>14</v>
      </c>
      <c r="Z169" s="187">
        <v>2</v>
      </c>
      <c r="AA169" s="187">
        <v>0</v>
      </c>
    </row>
    <row r="170" spans="1:27" s="186" customFormat="1" hidden="1" x14ac:dyDescent="0.25">
      <c r="A170" s="12">
        <v>41883</v>
      </c>
      <c r="B170" s="187">
        <v>208</v>
      </c>
      <c r="C170" s="187">
        <v>134</v>
      </c>
      <c r="D170" s="187">
        <v>42</v>
      </c>
      <c r="E170" s="187">
        <v>15</v>
      </c>
      <c r="F170" s="187">
        <v>17</v>
      </c>
      <c r="G170" s="187">
        <v>0</v>
      </c>
      <c r="H170" s="187">
        <v>0</v>
      </c>
      <c r="J170" s="187"/>
      <c r="T170" s="12">
        <v>41883</v>
      </c>
      <c r="U170" s="187">
        <v>208</v>
      </c>
      <c r="V170" s="187">
        <v>134</v>
      </c>
      <c r="W170" s="187">
        <v>42</v>
      </c>
      <c r="X170" s="187">
        <v>15</v>
      </c>
      <c r="Y170" s="187">
        <v>17</v>
      </c>
      <c r="Z170" s="187">
        <v>0</v>
      </c>
      <c r="AA170" s="187">
        <v>0</v>
      </c>
    </row>
    <row r="171" spans="1:27" s="186" customFormat="1" hidden="1" x14ac:dyDescent="0.25">
      <c r="A171" s="12">
        <v>41913</v>
      </c>
      <c r="B171" s="187">
        <v>308</v>
      </c>
      <c r="C171" s="187">
        <v>192</v>
      </c>
      <c r="D171" s="187">
        <v>62</v>
      </c>
      <c r="E171" s="187">
        <v>28</v>
      </c>
      <c r="F171" s="187">
        <v>24</v>
      </c>
      <c r="G171" s="187">
        <v>2</v>
      </c>
      <c r="H171" s="187">
        <v>0</v>
      </c>
      <c r="J171" s="187"/>
      <c r="T171" s="12">
        <v>41913</v>
      </c>
      <c r="U171" s="187">
        <v>308</v>
      </c>
      <c r="V171" s="187">
        <v>192</v>
      </c>
      <c r="W171" s="187">
        <v>62</v>
      </c>
      <c r="X171" s="187">
        <v>28</v>
      </c>
      <c r="Y171" s="187">
        <v>24</v>
      </c>
      <c r="Z171" s="187">
        <v>2</v>
      </c>
      <c r="AA171" s="187">
        <v>0</v>
      </c>
    </row>
    <row r="172" spans="1:27" s="186" customFormat="1" hidden="1" x14ac:dyDescent="0.25">
      <c r="A172" s="12">
        <v>41944</v>
      </c>
      <c r="B172" s="187">
        <v>392</v>
      </c>
      <c r="C172" s="187">
        <v>222</v>
      </c>
      <c r="D172" s="187">
        <v>102</v>
      </c>
      <c r="E172" s="187">
        <v>31</v>
      </c>
      <c r="F172" s="187">
        <v>34</v>
      </c>
      <c r="G172" s="187">
        <v>3</v>
      </c>
      <c r="H172" s="187">
        <v>0</v>
      </c>
      <c r="J172" s="187"/>
      <c r="T172" s="12">
        <v>41944</v>
      </c>
      <c r="U172" s="187">
        <v>392</v>
      </c>
      <c r="V172" s="187">
        <v>222</v>
      </c>
      <c r="W172" s="187">
        <v>102</v>
      </c>
      <c r="X172" s="187">
        <v>31</v>
      </c>
      <c r="Y172" s="187">
        <v>34</v>
      </c>
      <c r="Z172" s="187">
        <v>3</v>
      </c>
      <c r="AA172" s="187">
        <v>0</v>
      </c>
    </row>
    <row r="173" spans="1:27" hidden="1" x14ac:dyDescent="0.25">
      <c r="A173" s="1">
        <v>41974</v>
      </c>
      <c r="B173" s="187">
        <v>394</v>
      </c>
      <c r="C173" s="187">
        <v>181</v>
      </c>
      <c r="D173" s="187">
        <v>107</v>
      </c>
      <c r="E173" s="187">
        <v>64</v>
      </c>
      <c r="F173" s="187">
        <v>32</v>
      </c>
      <c r="G173" s="187">
        <v>10</v>
      </c>
      <c r="H173" s="187">
        <v>0</v>
      </c>
      <c r="J173" s="187"/>
      <c r="T173" s="1">
        <v>41974</v>
      </c>
      <c r="U173" s="187"/>
      <c r="V173" s="187"/>
      <c r="W173" s="187"/>
      <c r="X173" s="187"/>
      <c r="Y173" s="187"/>
      <c r="Z173" s="187"/>
      <c r="AA173" s="187"/>
    </row>
    <row r="174" spans="1:27" hidden="1" x14ac:dyDescent="0.25">
      <c r="A174" s="1">
        <v>42005</v>
      </c>
      <c r="B174" s="187">
        <v>415</v>
      </c>
      <c r="C174" s="187">
        <v>199</v>
      </c>
      <c r="D174" s="187">
        <v>70</v>
      </c>
      <c r="E174" s="187">
        <v>75</v>
      </c>
      <c r="F174" s="187">
        <v>68</v>
      </c>
      <c r="G174" s="187">
        <v>3</v>
      </c>
      <c r="H174" s="187">
        <v>0</v>
      </c>
      <c r="J174" s="187"/>
      <c r="T174" s="1">
        <v>42005</v>
      </c>
      <c r="U174" s="187"/>
      <c r="V174" s="187"/>
      <c r="W174" s="187"/>
      <c r="X174" s="187"/>
      <c r="Y174" s="187"/>
      <c r="Z174" s="187"/>
      <c r="AA174" s="187"/>
    </row>
    <row r="175" spans="1:27" s="186" customFormat="1" hidden="1" x14ac:dyDescent="0.25">
      <c r="A175" s="1">
        <v>42036</v>
      </c>
      <c r="B175" s="187">
        <v>499</v>
      </c>
      <c r="C175" s="187">
        <v>295</v>
      </c>
      <c r="D175" s="187">
        <v>55</v>
      </c>
      <c r="E175" s="187">
        <v>37</v>
      </c>
      <c r="F175" s="187">
        <v>100</v>
      </c>
      <c r="G175" s="187">
        <v>11</v>
      </c>
      <c r="H175" s="187">
        <v>1</v>
      </c>
      <c r="J175" s="187"/>
      <c r="T175" s="1">
        <v>42036</v>
      </c>
      <c r="U175" s="187"/>
      <c r="V175" s="187"/>
      <c r="W175" s="187"/>
      <c r="X175" s="187"/>
      <c r="Y175" s="187"/>
      <c r="Z175" s="187"/>
      <c r="AA175" s="187"/>
    </row>
    <row r="176" spans="1:27" s="186" customFormat="1" hidden="1" x14ac:dyDescent="0.25">
      <c r="A176" s="1">
        <v>42064</v>
      </c>
      <c r="B176" s="187">
        <v>263</v>
      </c>
      <c r="C176" s="187">
        <v>179</v>
      </c>
      <c r="D176" s="187">
        <v>60</v>
      </c>
      <c r="E176" s="187">
        <v>7</v>
      </c>
      <c r="F176" s="187">
        <v>12</v>
      </c>
      <c r="G176" s="187">
        <v>5</v>
      </c>
      <c r="H176" s="187">
        <v>0</v>
      </c>
      <c r="J176" s="187"/>
      <c r="T176" s="1">
        <v>42064</v>
      </c>
      <c r="U176" s="187"/>
      <c r="V176" s="187"/>
      <c r="W176" s="187"/>
      <c r="X176" s="187"/>
      <c r="Y176" s="187"/>
      <c r="Z176" s="187"/>
      <c r="AA176" s="187"/>
    </row>
    <row r="177" spans="1:27" s="186" customFormat="1" hidden="1" x14ac:dyDescent="0.25">
      <c r="A177" s="1">
        <v>42095</v>
      </c>
      <c r="B177" s="187">
        <v>235</v>
      </c>
      <c r="C177" s="187">
        <v>160</v>
      </c>
      <c r="D177" s="187">
        <v>67</v>
      </c>
      <c r="E177" s="187">
        <v>2</v>
      </c>
      <c r="F177" s="187">
        <v>2</v>
      </c>
      <c r="G177" s="187">
        <v>4</v>
      </c>
      <c r="H177" s="187">
        <v>0</v>
      </c>
      <c r="J177" s="187"/>
      <c r="T177" s="1">
        <v>42095</v>
      </c>
      <c r="U177" s="187"/>
      <c r="V177" s="187"/>
      <c r="W177" s="187"/>
      <c r="X177" s="187"/>
      <c r="Y177" s="187"/>
      <c r="Z177" s="187"/>
      <c r="AA177" s="187"/>
    </row>
    <row r="178" spans="1:27" x14ac:dyDescent="0.25">
      <c r="A178" s="1">
        <v>42125</v>
      </c>
      <c r="B178" s="187">
        <v>294</v>
      </c>
      <c r="C178" s="187">
        <v>172</v>
      </c>
      <c r="D178" s="187">
        <v>65</v>
      </c>
      <c r="E178" s="187">
        <v>51</v>
      </c>
      <c r="F178" s="187">
        <v>2</v>
      </c>
      <c r="G178" s="187">
        <v>4</v>
      </c>
      <c r="H178" s="187">
        <v>0</v>
      </c>
      <c r="I178" s="187"/>
      <c r="T178" s="1">
        <v>42125</v>
      </c>
      <c r="U178" s="187"/>
      <c r="V178" s="187"/>
      <c r="W178" s="187"/>
      <c r="X178" s="187"/>
      <c r="Y178" s="187"/>
      <c r="Z178" s="187"/>
      <c r="AA178" s="187"/>
    </row>
    <row r="179" spans="1:27" x14ac:dyDescent="0.25">
      <c r="A179" s="1">
        <v>42156</v>
      </c>
      <c r="B179" s="187">
        <v>316</v>
      </c>
      <c r="C179" s="187">
        <v>166</v>
      </c>
      <c r="D179" s="187">
        <v>93</v>
      </c>
      <c r="E179" s="187">
        <v>29</v>
      </c>
      <c r="F179" s="187">
        <v>25</v>
      </c>
      <c r="G179" s="187">
        <v>3</v>
      </c>
      <c r="H179" s="187">
        <v>0</v>
      </c>
      <c r="I179"/>
      <c r="T179" s="1">
        <v>42156</v>
      </c>
      <c r="U179" s="187"/>
      <c r="V179" s="187"/>
      <c r="W179" s="187"/>
      <c r="X179" s="187"/>
      <c r="Y179" s="187"/>
      <c r="Z179" s="187"/>
      <c r="AA179" s="187"/>
    </row>
    <row r="180" spans="1:27" x14ac:dyDescent="0.25">
      <c r="A180" s="1">
        <v>42200</v>
      </c>
      <c r="B180" s="187">
        <v>372</v>
      </c>
      <c r="C180" s="187">
        <v>232</v>
      </c>
      <c r="D180" s="187">
        <v>45</v>
      </c>
      <c r="E180" s="187">
        <v>51</v>
      </c>
      <c r="F180" s="187">
        <v>41</v>
      </c>
      <c r="G180" s="187">
        <v>3</v>
      </c>
      <c r="H180" s="187">
        <v>0</v>
      </c>
      <c r="I180"/>
      <c r="T180" s="1">
        <v>42200</v>
      </c>
      <c r="U180" s="187"/>
      <c r="V180" s="187"/>
      <c r="W180" s="187"/>
      <c r="X180" s="187"/>
      <c r="Y180" s="187"/>
      <c r="Z180" s="187"/>
      <c r="AA180" s="187"/>
    </row>
    <row r="181" spans="1:27" s="186" customFormat="1" x14ac:dyDescent="0.25">
      <c r="A181" s="1">
        <v>42231</v>
      </c>
      <c r="B181" s="187">
        <v>485</v>
      </c>
      <c r="C181" s="187">
        <v>299</v>
      </c>
      <c r="D181" s="187">
        <v>70</v>
      </c>
      <c r="E181" s="187">
        <v>28</v>
      </c>
      <c r="F181" s="187">
        <v>85</v>
      </c>
      <c r="G181" s="187">
        <v>2</v>
      </c>
      <c r="H181" s="187">
        <v>1</v>
      </c>
      <c r="T181" s="1">
        <v>42231</v>
      </c>
      <c r="U181" s="187"/>
      <c r="V181" s="187"/>
      <c r="W181" s="187"/>
      <c r="X181" s="187"/>
      <c r="Y181" s="187"/>
      <c r="Z181" s="187"/>
      <c r="AA181" s="187"/>
    </row>
    <row r="182" spans="1:27" s="186" customFormat="1" x14ac:dyDescent="0.25">
      <c r="A182" s="1">
        <v>42262</v>
      </c>
      <c r="B182" s="187">
        <v>521</v>
      </c>
      <c r="C182" s="187">
        <v>223</v>
      </c>
      <c r="D182" s="187">
        <v>177</v>
      </c>
      <c r="E182" s="187">
        <v>33</v>
      </c>
      <c r="F182" s="187">
        <v>64</v>
      </c>
      <c r="G182" s="187">
        <v>23</v>
      </c>
      <c r="H182" s="187">
        <v>1</v>
      </c>
      <c r="T182" s="1">
        <v>42262</v>
      </c>
      <c r="U182" s="187">
        <v>109</v>
      </c>
      <c r="V182" s="187">
        <v>83</v>
      </c>
      <c r="W182" s="187">
        <v>8</v>
      </c>
      <c r="X182" s="187">
        <v>8</v>
      </c>
      <c r="Y182" s="187">
        <v>8</v>
      </c>
      <c r="Z182" s="187">
        <v>2</v>
      </c>
      <c r="AA182" s="187">
        <v>0</v>
      </c>
    </row>
    <row r="183" spans="1:27" s="186" customFormat="1" x14ac:dyDescent="0.25">
      <c r="A183" s="1">
        <v>42292</v>
      </c>
      <c r="B183" s="187">
        <v>586</v>
      </c>
      <c r="C183" s="187">
        <v>264</v>
      </c>
      <c r="D183" s="187">
        <v>38</v>
      </c>
      <c r="E183" s="187">
        <v>168</v>
      </c>
      <c r="F183" s="187">
        <v>79</v>
      </c>
      <c r="G183" s="187">
        <v>36</v>
      </c>
      <c r="H183" s="187">
        <v>1</v>
      </c>
      <c r="T183" s="1">
        <v>42292</v>
      </c>
      <c r="U183" s="187">
        <v>167</v>
      </c>
      <c r="V183" s="187">
        <v>134</v>
      </c>
      <c r="W183" s="187">
        <v>13</v>
      </c>
      <c r="X183" s="187">
        <v>4</v>
      </c>
      <c r="Y183" s="187">
        <v>14</v>
      </c>
      <c r="Z183" s="187">
        <v>2</v>
      </c>
      <c r="AA183" s="187">
        <v>0</v>
      </c>
    </row>
    <row r="184" spans="1:27" s="186" customFormat="1" x14ac:dyDescent="0.25">
      <c r="A184" s="1">
        <v>42309</v>
      </c>
      <c r="B184" s="187">
        <v>606</v>
      </c>
      <c r="C184" s="187">
        <v>190</v>
      </c>
      <c r="D184" s="187">
        <v>142</v>
      </c>
      <c r="E184" s="187">
        <v>37</v>
      </c>
      <c r="F184" s="187">
        <v>194</v>
      </c>
      <c r="G184" s="187">
        <v>43</v>
      </c>
      <c r="H184" s="187">
        <v>0</v>
      </c>
      <c r="T184" s="1">
        <v>42309</v>
      </c>
      <c r="U184" s="187">
        <v>192</v>
      </c>
      <c r="V184" s="187">
        <v>133</v>
      </c>
      <c r="W184" s="187">
        <v>29</v>
      </c>
      <c r="X184" s="187">
        <v>10</v>
      </c>
      <c r="Y184" s="187">
        <v>17</v>
      </c>
      <c r="Z184" s="187">
        <v>3</v>
      </c>
      <c r="AA184" s="187">
        <v>0</v>
      </c>
    </row>
    <row r="185" spans="1:27" s="186" customFormat="1" x14ac:dyDescent="0.25">
      <c r="A185" s="1">
        <v>42339</v>
      </c>
      <c r="B185" s="187">
        <v>667</v>
      </c>
      <c r="C185" s="187">
        <v>184</v>
      </c>
      <c r="D185" s="187">
        <v>99</v>
      </c>
      <c r="E185" s="187">
        <v>119</v>
      </c>
      <c r="F185" s="187">
        <v>205</v>
      </c>
      <c r="G185" s="187">
        <v>60</v>
      </c>
      <c r="H185" s="187">
        <v>0</v>
      </c>
      <c r="T185" s="1">
        <v>42339</v>
      </c>
      <c r="U185" s="187">
        <v>200</v>
      </c>
      <c r="V185" s="187">
        <v>124</v>
      </c>
      <c r="W185" s="187">
        <v>43</v>
      </c>
      <c r="X185" s="187">
        <v>12</v>
      </c>
      <c r="Y185" s="187">
        <v>12</v>
      </c>
      <c r="Z185" s="187">
        <v>9</v>
      </c>
      <c r="AA185" s="187">
        <v>0</v>
      </c>
    </row>
    <row r="186" spans="1:27" x14ac:dyDescent="0.25">
      <c r="A186" s="1">
        <v>42370</v>
      </c>
      <c r="B186" s="187">
        <v>276</v>
      </c>
      <c r="C186" s="187">
        <v>222</v>
      </c>
      <c r="D186" s="187">
        <v>27</v>
      </c>
      <c r="E186" s="187">
        <v>1</v>
      </c>
      <c r="F186" s="187">
        <v>12</v>
      </c>
      <c r="G186" s="187">
        <v>14</v>
      </c>
      <c r="H186" s="187">
        <v>0</v>
      </c>
      <c r="I186"/>
      <c r="T186" s="1">
        <v>42370</v>
      </c>
      <c r="U186" s="187">
        <v>166</v>
      </c>
      <c r="V186" s="187">
        <v>113</v>
      </c>
      <c r="W186" s="187">
        <v>27</v>
      </c>
      <c r="X186" s="187">
        <v>1</v>
      </c>
      <c r="Y186" s="187">
        <v>11</v>
      </c>
      <c r="Z186" s="187">
        <v>14</v>
      </c>
      <c r="AA186" s="187">
        <v>0</v>
      </c>
    </row>
    <row r="187" spans="1:27" s="186" customFormat="1" x14ac:dyDescent="0.25">
      <c r="A187" s="1">
        <v>42401</v>
      </c>
      <c r="B187" s="187">
        <v>333</v>
      </c>
      <c r="C187" s="187">
        <v>214</v>
      </c>
      <c r="D187" s="187">
        <v>104</v>
      </c>
      <c r="E187" s="187">
        <v>4</v>
      </c>
      <c r="F187" s="187">
        <v>4</v>
      </c>
      <c r="G187" s="187">
        <v>7</v>
      </c>
      <c r="H187" s="187">
        <v>0</v>
      </c>
      <c r="T187" s="1"/>
      <c r="U187" s="187"/>
      <c r="V187" s="187"/>
      <c r="W187" s="187"/>
      <c r="X187" s="187"/>
      <c r="Y187" s="187"/>
      <c r="Z187" s="187"/>
      <c r="AA187" s="187"/>
    </row>
    <row r="188" spans="1:27" x14ac:dyDescent="0.25">
      <c r="A188" s="1">
        <v>42430</v>
      </c>
      <c r="B188" s="187">
        <v>409</v>
      </c>
      <c r="C188" s="187">
        <v>204</v>
      </c>
      <c r="D188" s="187">
        <v>104</v>
      </c>
      <c r="E188" s="187">
        <v>86</v>
      </c>
      <c r="F188" s="187">
        <v>6</v>
      </c>
      <c r="G188" s="187">
        <v>8</v>
      </c>
      <c r="H188" s="187">
        <v>1</v>
      </c>
      <c r="I188"/>
    </row>
    <row r="189" spans="1:27" s="186" customFormat="1" x14ac:dyDescent="0.25">
      <c r="A189" s="1">
        <v>42461</v>
      </c>
      <c r="B189" s="187">
        <v>379</v>
      </c>
      <c r="C189" s="187">
        <v>179</v>
      </c>
      <c r="D189" s="187">
        <v>84</v>
      </c>
      <c r="E189" s="187">
        <v>75</v>
      </c>
      <c r="F189" s="187">
        <v>32</v>
      </c>
      <c r="G189" s="187">
        <v>8</v>
      </c>
      <c r="H189" s="187">
        <v>1</v>
      </c>
    </row>
    <row r="190" spans="1:27" s="186" customFormat="1" x14ac:dyDescent="0.25">
      <c r="A190" s="1">
        <v>42491</v>
      </c>
      <c r="B190" s="187">
        <v>551</v>
      </c>
      <c r="C190" s="187">
        <v>278</v>
      </c>
      <c r="D190" s="187">
        <v>91</v>
      </c>
      <c r="E190" s="187">
        <v>73</v>
      </c>
      <c r="F190" s="187">
        <v>99</v>
      </c>
      <c r="G190" s="187">
        <v>7</v>
      </c>
      <c r="H190" s="187">
        <v>3</v>
      </c>
    </row>
    <row r="191" spans="1:27" s="186" customFormat="1" x14ac:dyDescent="0.25">
      <c r="A191" s="1">
        <v>42522</v>
      </c>
      <c r="B191" s="187">
        <v>611</v>
      </c>
      <c r="C191" s="187">
        <v>233</v>
      </c>
      <c r="D191" s="187">
        <v>128</v>
      </c>
      <c r="E191" s="187">
        <v>77</v>
      </c>
      <c r="F191" s="187">
        <v>159</v>
      </c>
      <c r="G191" s="187">
        <v>9</v>
      </c>
      <c r="H191" s="187">
        <v>5</v>
      </c>
    </row>
    <row r="192" spans="1:27" s="186" customFormat="1" x14ac:dyDescent="0.25">
      <c r="A192" s="1">
        <v>42552</v>
      </c>
      <c r="B192" s="187">
        <v>759</v>
      </c>
      <c r="C192" s="187">
        <v>259</v>
      </c>
      <c r="D192" s="187">
        <v>149</v>
      </c>
      <c r="E192" s="187">
        <v>115</v>
      </c>
      <c r="F192" s="187">
        <v>192</v>
      </c>
      <c r="G192" s="187">
        <v>40</v>
      </c>
      <c r="H192" s="187">
        <v>4</v>
      </c>
    </row>
    <row r="193" spans="1:9" s="186" customFormat="1" x14ac:dyDescent="0.25">
      <c r="A193" s="1">
        <v>42583</v>
      </c>
      <c r="B193" s="187">
        <v>560</v>
      </c>
      <c r="C193" s="187">
        <v>299</v>
      </c>
      <c r="D193" s="187">
        <v>83</v>
      </c>
      <c r="E193" s="187">
        <v>55</v>
      </c>
      <c r="F193" s="187">
        <v>81</v>
      </c>
      <c r="G193" s="187">
        <v>36</v>
      </c>
      <c r="H193" s="187">
        <v>6</v>
      </c>
    </row>
    <row r="194" spans="1:9" x14ac:dyDescent="0.25">
      <c r="D194"/>
      <c r="E194" s="186"/>
      <c r="F194"/>
      <c r="G194"/>
      <c r="H194"/>
      <c r="I194"/>
    </row>
    <row r="195" spans="1:9" x14ac:dyDescent="0.25">
      <c r="D195"/>
      <c r="E195" s="186"/>
      <c r="F195"/>
      <c r="G195"/>
      <c r="H195"/>
      <c r="I195"/>
    </row>
    <row r="196" spans="1:9" x14ac:dyDescent="0.25">
      <c r="D196"/>
      <c r="E196" s="186"/>
      <c r="F196"/>
      <c r="G196"/>
      <c r="H196"/>
      <c r="I196"/>
    </row>
    <row r="197" spans="1:9" x14ac:dyDescent="0.25">
      <c r="D197"/>
      <c r="E197" s="186"/>
      <c r="F197"/>
      <c r="G197"/>
      <c r="H197"/>
      <c r="I197"/>
    </row>
    <row r="198" spans="1:9" x14ac:dyDescent="0.25">
      <c r="D198"/>
      <c r="E198" s="186"/>
      <c r="F198"/>
      <c r="G198"/>
      <c r="H198"/>
      <c r="I198"/>
    </row>
    <row r="199" spans="1:9" x14ac:dyDescent="0.25">
      <c r="D199"/>
      <c r="E199" s="186"/>
      <c r="F199"/>
      <c r="G199"/>
      <c r="H199"/>
      <c r="I199"/>
    </row>
    <row r="200" spans="1:9" x14ac:dyDescent="0.25">
      <c r="D200"/>
      <c r="E200" s="186"/>
      <c r="F200"/>
      <c r="G200"/>
      <c r="H200"/>
      <c r="I200"/>
    </row>
    <row r="201" spans="1:9" x14ac:dyDescent="0.25">
      <c r="D201"/>
      <c r="E201" s="186"/>
      <c r="F201"/>
      <c r="G201"/>
      <c r="H201"/>
      <c r="I201"/>
    </row>
    <row r="202" spans="1:9" x14ac:dyDescent="0.25">
      <c r="D202"/>
      <c r="E202" s="186"/>
      <c r="F202"/>
      <c r="G202"/>
      <c r="H202"/>
      <c r="I202"/>
    </row>
    <row r="203" spans="1:9" x14ac:dyDescent="0.25">
      <c r="D203"/>
      <c r="E203" s="186"/>
      <c r="F203"/>
      <c r="G203"/>
      <c r="H203"/>
      <c r="I203"/>
    </row>
    <row r="204" spans="1:9" x14ac:dyDescent="0.25">
      <c r="D204"/>
      <c r="E204" s="186"/>
      <c r="F204"/>
      <c r="G204"/>
      <c r="H204"/>
      <c r="I204"/>
    </row>
    <row r="205" spans="1:9" x14ac:dyDescent="0.25">
      <c r="D205"/>
      <c r="E205" s="186"/>
      <c r="F205"/>
      <c r="G205"/>
      <c r="H205"/>
      <c r="I205"/>
    </row>
    <row r="206" spans="1:9" x14ac:dyDescent="0.25">
      <c r="D206"/>
      <c r="E206" s="186"/>
      <c r="F206"/>
      <c r="G206"/>
      <c r="H206"/>
      <c r="I206"/>
    </row>
    <row r="207" spans="1:9" x14ac:dyDescent="0.25">
      <c r="D207"/>
      <c r="E207" s="186"/>
      <c r="F207"/>
      <c r="G207"/>
      <c r="H207"/>
      <c r="I207"/>
    </row>
    <row r="208" spans="1:9" x14ac:dyDescent="0.25">
      <c r="D208"/>
      <c r="E208" s="186"/>
      <c r="F208"/>
      <c r="G208"/>
      <c r="H208"/>
      <c r="I208"/>
    </row>
    <row r="209" spans="4:9" x14ac:dyDescent="0.25">
      <c r="D209"/>
      <c r="E209" s="186"/>
      <c r="F209"/>
      <c r="G209"/>
      <c r="H209"/>
      <c r="I209"/>
    </row>
    <row r="210" spans="4:9" x14ac:dyDescent="0.25">
      <c r="D210"/>
      <c r="E210" s="186"/>
      <c r="F210"/>
      <c r="G210"/>
      <c r="H210"/>
      <c r="I210"/>
    </row>
    <row r="211" spans="4:9" x14ac:dyDescent="0.25">
      <c r="D211"/>
      <c r="E211" s="186"/>
      <c r="F211"/>
      <c r="G211"/>
      <c r="H211"/>
      <c r="I211"/>
    </row>
    <row r="212" spans="4:9" x14ac:dyDescent="0.25">
      <c r="D212"/>
      <c r="E212" s="186"/>
      <c r="F212"/>
      <c r="G212"/>
      <c r="H212"/>
      <c r="I212"/>
    </row>
    <row r="213" spans="4:9" x14ac:dyDescent="0.25">
      <c r="D213"/>
      <c r="E213" s="186"/>
      <c r="F213"/>
      <c r="G213"/>
      <c r="H213"/>
      <c r="I213"/>
    </row>
    <row r="214" spans="4:9" x14ac:dyDescent="0.25">
      <c r="D214"/>
      <c r="E214" s="186"/>
      <c r="F214"/>
      <c r="G214"/>
      <c r="H214"/>
      <c r="I214"/>
    </row>
    <row r="215" spans="4:9" x14ac:dyDescent="0.25">
      <c r="D215"/>
      <c r="E215" s="186"/>
      <c r="F215"/>
      <c r="G215"/>
      <c r="H215"/>
      <c r="I215"/>
    </row>
    <row r="216" spans="4:9" x14ac:dyDescent="0.25">
      <c r="D216"/>
      <c r="E216" s="186"/>
      <c r="F216"/>
      <c r="G216"/>
      <c r="H216"/>
      <c r="I216"/>
    </row>
    <row r="217" spans="4:9" x14ac:dyDescent="0.25">
      <c r="D217"/>
      <c r="E217" s="186"/>
      <c r="F217"/>
      <c r="G217"/>
      <c r="H217"/>
      <c r="I217"/>
    </row>
    <row r="218" spans="4:9" x14ac:dyDescent="0.25">
      <c r="D218"/>
      <c r="E218" s="186"/>
      <c r="F218"/>
      <c r="G218"/>
      <c r="H218"/>
      <c r="I218"/>
    </row>
    <row r="219" spans="4:9" x14ac:dyDescent="0.25">
      <c r="D219"/>
      <c r="E219" s="186"/>
      <c r="F219"/>
      <c r="G219"/>
      <c r="H219"/>
      <c r="I219"/>
    </row>
    <row r="220" spans="4:9" x14ac:dyDescent="0.25">
      <c r="D220"/>
      <c r="E220" s="186"/>
      <c r="F220"/>
      <c r="G220"/>
      <c r="H220"/>
      <c r="I220"/>
    </row>
    <row r="221" spans="4:9" x14ac:dyDescent="0.25">
      <c r="D221"/>
      <c r="E221" s="186"/>
      <c r="F221"/>
      <c r="G221"/>
      <c r="H221"/>
      <c r="I221"/>
    </row>
    <row r="222" spans="4:9" x14ac:dyDescent="0.25">
      <c r="D222"/>
      <c r="E222" s="186"/>
      <c r="F222"/>
      <c r="G222"/>
      <c r="H222"/>
      <c r="I222"/>
    </row>
    <row r="223" spans="4:9" x14ac:dyDescent="0.25">
      <c r="D223"/>
      <c r="E223" s="186"/>
      <c r="F223"/>
      <c r="G223"/>
      <c r="H223"/>
      <c r="I223"/>
    </row>
  </sheetData>
  <pageMargins left="0.25" right="0.25" top="0.75" bottom="0.75" header="0.3" footer="0.3"/>
  <pageSetup orientation="portrait" r:id="rId1"/>
  <rowBreaks count="1" manualBreakCount="1">
    <brk id="1" max="16383" man="1"/>
  </rowBreaks>
  <colBreaks count="2" manualBreakCount="2">
    <brk id="6" max="1048575" man="1"/>
    <brk id="20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4"/>
  <sheetViews>
    <sheetView zoomScaleNormal="100" zoomScaleSheetLayoutView="50" workbookViewId="0">
      <selection activeCell="H59" sqref="H59"/>
    </sheetView>
  </sheetViews>
  <sheetFormatPr defaultRowHeight="15" x14ac:dyDescent="0.25"/>
  <cols>
    <col min="1" max="1" width="14.5703125" customWidth="1"/>
    <col min="2" max="2" width="14.5703125" style="186" customWidth="1"/>
    <col min="3" max="3" width="11.42578125" customWidth="1"/>
    <col min="4" max="4" width="10.5703125" style="17" customWidth="1"/>
    <col min="5" max="5" width="10.5703125" style="187" customWidth="1"/>
    <col min="6" max="6" width="10.5703125" style="37" customWidth="1"/>
    <col min="7" max="7" width="8.140625" style="17" customWidth="1"/>
    <col min="8" max="8" width="10.5703125" style="17" customWidth="1"/>
    <col min="9" max="9" width="10.7109375" style="37" customWidth="1"/>
    <col min="11" max="11" width="11.42578125" customWidth="1"/>
    <col min="12" max="12" width="11.7109375" customWidth="1"/>
    <col min="14" max="14" width="11" customWidth="1"/>
    <col min="15" max="15" width="10.85546875" customWidth="1"/>
    <col min="17" max="17" width="10.42578125" customWidth="1"/>
    <col min="18" max="18" width="10.85546875" customWidth="1"/>
  </cols>
  <sheetData>
    <row r="1" spans="1:9" x14ac:dyDescent="0.25">
      <c r="A1" s="47" t="s">
        <v>57</v>
      </c>
      <c r="B1" s="47" t="s">
        <v>509</v>
      </c>
      <c r="C1" s="5" t="s">
        <v>2</v>
      </c>
      <c r="D1" s="17" t="s">
        <v>0</v>
      </c>
      <c r="E1" s="187" t="s">
        <v>505</v>
      </c>
      <c r="F1" s="17" t="s">
        <v>1</v>
      </c>
    </row>
    <row r="2" spans="1:9" hidden="1" x14ac:dyDescent="0.25">
      <c r="A2" s="1">
        <v>40909</v>
      </c>
      <c r="B2" s="1"/>
      <c r="C2" s="1"/>
      <c r="D2" s="35">
        <v>12</v>
      </c>
      <c r="E2" s="38"/>
      <c r="F2" s="34">
        <v>11</v>
      </c>
      <c r="G2" s="19">
        <f t="shared" ref="G2:G13" si="0">+F2/D2</f>
        <v>0.91666666666666663</v>
      </c>
      <c r="I2" s="19"/>
    </row>
    <row r="3" spans="1:9" hidden="1" x14ac:dyDescent="0.25">
      <c r="A3" s="1">
        <v>40940</v>
      </c>
      <c r="B3" s="1"/>
      <c r="C3" s="1"/>
      <c r="D3" s="35">
        <v>14</v>
      </c>
      <c r="E3" s="38"/>
      <c r="F3" s="36">
        <v>13</v>
      </c>
      <c r="G3" s="19">
        <f t="shared" si="0"/>
        <v>0.9285714285714286</v>
      </c>
      <c r="I3" s="19"/>
    </row>
    <row r="4" spans="1:9" hidden="1" x14ac:dyDescent="0.25">
      <c r="A4" s="1">
        <v>40969</v>
      </c>
      <c r="B4" s="1"/>
      <c r="C4" s="1"/>
      <c r="D4" s="35">
        <v>10</v>
      </c>
      <c r="E4" s="38"/>
      <c r="F4" s="36">
        <v>6</v>
      </c>
      <c r="G4" s="19">
        <f t="shared" si="0"/>
        <v>0.6</v>
      </c>
      <c r="I4" s="19"/>
    </row>
    <row r="5" spans="1:9" hidden="1" x14ac:dyDescent="0.25">
      <c r="A5" s="1">
        <v>41000</v>
      </c>
      <c r="B5" s="1"/>
      <c r="C5" s="1"/>
      <c r="D5" s="35">
        <v>7</v>
      </c>
      <c r="E5" s="38"/>
      <c r="F5" s="36">
        <v>6</v>
      </c>
      <c r="G5" s="19">
        <f t="shared" si="0"/>
        <v>0.8571428571428571</v>
      </c>
      <c r="I5" s="19"/>
    </row>
    <row r="6" spans="1:9" hidden="1" x14ac:dyDescent="0.25">
      <c r="A6" s="1">
        <v>41030</v>
      </c>
      <c r="B6" s="1"/>
      <c r="C6" s="1"/>
      <c r="D6" s="18">
        <v>7</v>
      </c>
      <c r="E6" s="38"/>
      <c r="F6" s="21">
        <v>3</v>
      </c>
      <c r="G6" s="19">
        <f t="shared" si="0"/>
        <v>0.42857142857142855</v>
      </c>
      <c r="I6" s="19"/>
    </row>
    <row r="7" spans="1:9" hidden="1" x14ac:dyDescent="0.25">
      <c r="A7" s="1">
        <v>41061</v>
      </c>
      <c r="B7" s="1"/>
      <c r="C7" s="1"/>
      <c r="D7" s="18">
        <v>7</v>
      </c>
      <c r="E7" s="38"/>
      <c r="F7" s="21">
        <v>2</v>
      </c>
      <c r="G7" s="19">
        <f t="shared" si="0"/>
        <v>0.2857142857142857</v>
      </c>
      <c r="I7" s="19"/>
    </row>
    <row r="8" spans="1:9" hidden="1" x14ac:dyDescent="0.25">
      <c r="A8" s="1">
        <v>41091</v>
      </c>
      <c r="B8" s="1"/>
      <c r="C8" s="1"/>
      <c r="D8" s="18">
        <v>6</v>
      </c>
      <c r="E8" s="38"/>
      <c r="F8" s="21">
        <v>0</v>
      </c>
      <c r="G8" s="19">
        <f t="shared" si="0"/>
        <v>0</v>
      </c>
      <c r="I8" s="19"/>
    </row>
    <row r="9" spans="1:9" hidden="1" x14ac:dyDescent="0.25">
      <c r="A9" s="1">
        <v>41122</v>
      </c>
      <c r="B9" s="1"/>
      <c r="C9" s="1"/>
      <c r="D9" s="18">
        <v>7</v>
      </c>
      <c r="E9" s="38"/>
      <c r="F9" s="21">
        <v>4</v>
      </c>
      <c r="G9" s="19">
        <f t="shared" si="0"/>
        <v>0.5714285714285714</v>
      </c>
      <c r="I9" s="19"/>
    </row>
    <row r="10" spans="1:9" hidden="1" x14ac:dyDescent="0.25">
      <c r="A10" s="1">
        <v>41153</v>
      </c>
      <c r="B10" s="1"/>
      <c r="C10" s="1"/>
      <c r="D10" s="18">
        <v>2</v>
      </c>
      <c r="E10" s="38"/>
      <c r="F10" s="21">
        <v>1</v>
      </c>
      <c r="G10" s="19">
        <f t="shared" si="0"/>
        <v>0.5</v>
      </c>
      <c r="I10" s="19"/>
    </row>
    <row r="11" spans="1:9" hidden="1" x14ac:dyDescent="0.25">
      <c r="A11" s="1">
        <v>41183</v>
      </c>
      <c r="B11" s="1"/>
      <c r="C11" s="1"/>
      <c r="D11" s="18">
        <v>5</v>
      </c>
      <c r="E11" s="38"/>
      <c r="F11" s="21">
        <v>1</v>
      </c>
      <c r="G11" s="19">
        <f t="shared" si="0"/>
        <v>0.2</v>
      </c>
      <c r="I11" s="19"/>
    </row>
    <row r="12" spans="1:9" hidden="1" x14ac:dyDescent="0.25">
      <c r="A12" s="1">
        <v>41214</v>
      </c>
      <c r="B12" s="1"/>
      <c r="D12" s="21">
        <v>2</v>
      </c>
      <c r="E12" s="39"/>
      <c r="F12" s="21">
        <v>1</v>
      </c>
      <c r="G12" s="19">
        <f t="shared" si="0"/>
        <v>0.5</v>
      </c>
      <c r="I12" s="39"/>
    </row>
    <row r="13" spans="1:9" hidden="1" x14ac:dyDescent="0.25">
      <c r="A13" s="1">
        <v>41244</v>
      </c>
      <c r="B13" s="1"/>
      <c r="D13" s="39">
        <v>1</v>
      </c>
      <c r="E13" s="39"/>
      <c r="F13" s="39">
        <v>1</v>
      </c>
      <c r="G13" s="19">
        <f t="shared" si="0"/>
        <v>1</v>
      </c>
    </row>
    <row r="14" spans="1:9" hidden="1" x14ac:dyDescent="0.25">
      <c r="A14" s="1">
        <v>41275</v>
      </c>
      <c r="B14" s="1"/>
      <c r="D14" s="17">
        <v>0</v>
      </c>
      <c r="F14" s="17">
        <v>0</v>
      </c>
      <c r="G14" s="19">
        <v>0</v>
      </c>
    </row>
    <row r="15" spans="1:9" hidden="1" x14ac:dyDescent="0.25">
      <c r="A15" s="1">
        <v>41306</v>
      </c>
      <c r="B15" s="1"/>
      <c r="D15" s="17">
        <v>4</v>
      </c>
      <c r="F15" s="17">
        <v>1</v>
      </c>
      <c r="G15" s="19">
        <f t="shared" ref="G15:G37" si="1">+F15/D15</f>
        <v>0.25</v>
      </c>
    </row>
    <row r="16" spans="1:9" hidden="1" x14ac:dyDescent="0.25">
      <c r="A16" s="1">
        <v>41334</v>
      </c>
      <c r="B16" s="1"/>
      <c r="D16" s="17">
        <v>11</v>
      </c>
      <c r="F16" s="17">
        <v>4</v>
      </c>
      <c r="G16" s="19">
        <f t="shared" si="1"/>
        <v>0.36363636363636365</v>
      </c>
    </row>
    <row r="17" spans="1:7" hidden="1" x14ac:dyDescent="0.25">
      <c r="A17" s="1">
        <v>41365</v>
      </c>
      <c r="B17" s="1"/>
      <c r="D17" s="37">
        <v>3</v>
      </c>
      <c r="F17" s="37">
        <v>0</v>
      </c>
      <c r="G17" s="19">
        <f t="shared" si="1"/>
        <v>0</v>
      </c>
    </row>
    <row r="18" spans="1:7" hidden="1" x14ac:dyDescent="0.25">
      <c r="A18" s="1">
        <v>41395</v>
      </c>
      <c r="B18" s="1"/>
      <c r="D18" s="17">
        <v>4</v>
      </c>
      <c r="F18" s="17">
        <v>1</v>
      </c>
      <c r="G18" s="19">
        <f t="shared" si="1"/>
        <v>0.25</v>
      </c>
    </row>
    <row r="19" spans="1:7" hidden="1" x14ac:dyDescent="0.25">
      <c r="A19" s="1">
        <v>41426</v>
      </c>
      <c r="B19" s="1"/>
      <c r="D19" s="37">
        <v>7</v>
      </c>
      <c r="F19" s="37">
        <v>0</v>
      </c>
      <c r="G19" s="19">
        <f t="shared" si="1"/>
        <v>0</v>
      </c>
    </row>
    <row r="20" spans="1:7" hidden="1" x14ac:dyDescent="0.25">
      <c r="A20" s="1">
        <v>41456</v>
      </c>
      <c r="B20" s="1"/>
      <c r="D20" s="37">
        <v>1</v>
      </c>
      <c r="F20" s="37">
        <v>1</v>
      </c>
      <c r="G20" s="19">
        <f t="shared" si="1"/>
        <v>1</v>
      </c>
    </row>
    <row r="21" spans="1:7" hidden="1" x14ac:dyDescent="0.25">
      <c r="A21" s="1">
        <v>41487</v>
      </c>
      <c r="B21" s="84"/>
      <c r="D21" s="37">
        <v>6</v>
      </c>
      <c r="F21" s="37">
        <v>1</v>
      </c>
      <c r="G21" s="19">
        <f t="shared" si="1"/>
        <v>0.16666666666666666</v>
      </c>
    </row>
    <row r="22" spans="1:7" hidden="1" x14ac:dyDescent="0.25">
      <c r="A22" s="1">
        <v>41518</v>
      </c>
      <c r="B22" s="84"/>
      <c r="D22" s="37">
        <v>1</v>
      </c>
      <c r="F22" s="37">
        <v>0</v>
      </c>
      <c r="G22" s="19">
        <f t="shared" si="1"/>
        <v>0</v>
      </c>
    </row>
    <row r="23" spans="1:7" hidden="1" x14ac:dyDescent="0.25">
      <c r="A23" s="1">
        <v>41548</v>
      </c>
      <c r="B23" s="84"/>
      <c r="D23" s="37">
        <v>4</v>
      </c>
      <c r="F23" s="37">
        <v>0</v>
      </c>
      <c r="G23" s="19">
        <f t="shared" si="1"/>
        <v>0</v>
      </c>
    </row>
    <row r="24" spans="1:7" hidden="1" x14ac:dyDescent="0.25">
      <c r="A24" s="1">
        <v>41579</v>
      </c>
      <c r="B24" s="84"/>
      <c r="D24" s="37">
        <v>1</v>
      </c>
      <c r="F24" s="37">
        <v>0</v>
      </c>
      <c r="G24" s="19">
        <f t="shared" si="1"/>
        <v>0</v>
      </c>
    </row>
    <row r="25" spans="1:7" hidden="1" x14ac:dyDescent="0.25">
      <c r="A25" s="1">
        <v>41609</v>
      </c>
      <c r="B25" s="84"/>
      <c r="D25" s="37">
        <v>1</v>
      </c>
      <c r="F25" s="37">
        <v>0</v>
      </c>
      <c r="G25" s="19">
        <f t="shared" si="1"/>
        <v>0</v>
      </c>
    </row>
    <row r="26" spans="1:7" hidden="1" x14ac:dyDescent="0.25">
      <c r="A26" s="1">
        <v>41640</v>
      </c>
      <c r="B26" s="84"/>
      <c r="D26" s="37">
        <v>0</v>
      </c>
      <c r="F26" s="37">
        <v>0</v>
      </c>
      <c r="G26" s="19" t="e">
        <f t="shared" si="1"/>
        <v>#DIV/0!</v>
      </c>
    </row>
    <row r="27" spans="1:7" hidden="1" x14ac:dyDescent="0.25">
      <c r="A27" s="1">
        <v>41671</v>
      </c>
      <c r="B27" s="84"/>
      <c r="D27" s="37">
        <v>1</v>
      </c>
      <c r="F27" s="37">
        <v>0</v>
      </c>
      <c r="G27" s="19">
        <f t="shared" si="1"/>
        <v>0</v>
      </c>
    </row>
    <row r="28" spans="1:7" hidden="1" x14ac:dyDescent="0.25">
      <c r="A28" s="1">
        <v>41699</v>
      </c>
      <c r="B28" s="84"/>
      <c r="D28" s="37">
        <v>0</v>
      </c>
      <c r="F28" s="37">
        <v>0</v>
      </c>
      <c r="G28" s="19" t="e">
        <f t="shared" si="1"/>
        <v>#DIV/0!</v>
      </c>
    </row>
    <row r="29" spans="1:7" hidden="1" x14ac:dyDescent="0.25">
      <c r="A29" s="1">
        <v>41730</v>
      </c>
      <c r="B29" s="84">
        <v>5</v>
      </c>
      <c r="C29">
        <v>3</v>
      </c>
      <c r="D29" s="37">
        <v>2</v>
      </c>
      <c r="E29" s="187">
        <v>2</v>
      </c>
      <c r="F29" s="37">
        <v>0</v>
      </c>
      <c r="G29" s="19">
        <f t="shared" si="1"/>
        <v>0</v>
      </c>
    </row>
    <row r="30" spans="1:7" hidden="1" x14ac:dyDescent="0.25">
      <c r="A30" s="1">
        <v>41760</v>
      </c>
      <c r="B30" s="84">
        <v>1</v>
      </c>
      <c r="C30">
        <v>3</v>
      </c>
      <c r="D30" s="37">
        <v>0</v>
      </c>
      <c r="E30" s="187">
        <v>1</v>
      </c>
      <c r="F30" s="37">
        <v>0</v>
      </c>
      <c r="G30" s="19" t="e">
        <f t="shared" si="1"/>
        <v>#DIV/0!</v>
      </c>
    </row>
    <row r="31" spans="1:7" hidden="1" x14ac:dyDescent="0.25">
      <c r="A31" s="1">
        <v>41791</v>
      </c>
      <c r="B31" s="84">
        <v>6</v>
      </c>
      <c r="C31">
        <v>3</v>
      </c>
      <c r="D31" s="37">
        <v>1</v>
      </c>
      <c r="E31" s="187">
        <v>4</v>
      </c>
      <c r="F31" s="37">
        <v>0</v>
      </c>
      <c r="G31" s="19">
        <f t="shared" si="1"/>
        <v>0</v>
      </c>
    </row>
    <row r="32" spans="1:7" hidden="1" x14ac:dyDescent="0.25">
      <c r="A32" s="1">
        <v>41821</v>
      </c>
      <c r="B32" s="84">
        <v>7</v>
      </c>
      <c r="C32">
        <v>3</v>
      </c>
      <c r="D32" s="37">
        <v>3</v>
      </c>
      <c r="E32" s="187">
        <v>4</v>
      </c>
      <c r="F32" s="37">
        <v>0</v>
      </c>
      <c r="G32" s="19">
        <f t="shared" si="1"/>
        <v>0</v>
      </c>
    </row>
    <row r="33" spans="1:9" hidden="1" x14ac:dyDescent="0.25">
      <c r="A33" s="1">
        <v>41852</v>
      </c>
      <c r="B33" s="84">
        <v>11</v>
      </c>
      <c r="C33">
        <v>3</v>
      </c>
      <c r="D33" s="37">
        <v>4</v>
      </c>
      <c r="E33" s="187">
        <v>11</v>
      </c>
      <c r="F33" s="37">
        <v>1</v>
      </c>
      <c r="G33" s="19">
        <f t="shared" si="1"/>
        <v>0.25</v>
      </c>
    </row>
    <row r="34" spans="1:9" s="186" customFormat="1" hidden="1" x14ac:dyDescent="0.25">
      <c r="A34" s="1">
        <v>41883</v>
      </c>
      <c r="B34" s="84">
        <v>10</v>
      </c>
      <c r="C34" s="186">
        <v>3</v>
      </c>
      <c r="D34" s="187">
        <v>4</v>
      </c>
      <c r="E34" s="187">
        <v>8</v>
      </c>
      <c r="F34" s="187">
        <v>0</v>
      </c>
      <c r="G34" s="19">
        <f t="shared" si="1"/>
        <v>0</v>
      </c>
      <c r="I34" s="187"/>
    </row>
    <row r="35" spans="1:9" s="186" customFormat="1" hidden="1" x14ac:dyDescent="0.25">
      <c r="A35" s="1">
        <v>41913</v>
      </c>
      <c r="B35" s="84">
        <v>7</v>
      </c>
      <c r="C35" s="186">
        <v>3</v>
      </c>
      <c r="D35" s="187">
        <v>7</v>
      </c>
      <c r="E35" s="187">
        <v>0</v>
      </c>
      <c r="F35" s="187">
        <v>0</v>
      </c>
      <c r="G35" s="19">
        <f t="shared" si="1"/>
        <v>0</v>
      </c>
      <c r="I35" s="187"/>
    </row>
    <row r="36" spans="1:9" s="186" customFormat="1" hidden="1" x14ac:dyDescent="0.25">
      <c r="A36" s="1">
        <v>41944</v>
      </c>
      <c r="B36" s="84">
        <v>3</v>
      </c>
      <c r="C36" s="186">
        <v>3</v>
      </c>
      <c r="D36" s="187">
        <v>3</v>
      </c>
      <c r="E36" s="187">
        <v>5</v>
      </c>
      <c r="F36" s="187">
        <v>0</v>
      </c>
      <c r="G36" s="19">
        <f t="shared" si="1"/>
        <v>0</v>
      </c>
      <c r="I36" s="187"/>
    </row>
    <row r="37" spans="1:9" hidden="1" x14ac:dyDescent="0.25">
      <c r="A37" s="1">
        <v>41974</v>
      </c>
      <c r="B37" s="84">
        <v>2</v>
      </c>
      <c r="C37">
        <v>3</v>
      </c>
      <c r="D37" s="37">
        <v>5</v>
      </c>
      <c r="E37" s="187">
        <v>0</v>
      </c>
      <c r="F37" s="37">
        <v>3</v>
      </c>
      <c r="G37" s="19">
        <f t="shared" si="1"/>
        <v>0.6</v>
      </c>
    </row>
    <row r="38" spans="1:9" s="186" customFormat="1" hidden="1" x14ac:dyDescent="0.25">
      <c r="A38" s="1">
        <v>42005</v>
      </c>
      <c r="B38" s="84">
        <v>6</v>
      </c>
      <c r="C38" s="186">
        <v>3</v>
      </c>
      <c r="D38" s="187">
        <v>0</v>
      </c>
      <c r="E38" s="187">
        <v>8</v>
      </c>
      <c r="F38" s="187">
        <v>0</v>
      </c>
      <c r="G38" s="19" t="e">
        <f t="shared" ref="G38:G57" si="2">+F38/D38</f>
        <v>#DIV/0!</v>
      </c>
      <c r="I38" s="187"/>
    </row>
    <row r="39" spans="1:9" s="186" customFormat="1" hidden="1" x14ac:dyDescent="0.25">
      <c r="A39" s="1">
        <v>42036</v>
      </c>
      <c r="B39" s="84">
        <v>17</v>
      </c>
      <c r="C39" s="186">
        <v>3</v>
      </c>
      <c r="D39" s="187">
        <v>2</v>
      </c>
      <c r="E39" s="187">
        <v>18</v>
      </c>
      <c r="F39" s="187">
        <v>1</v>
      </c>
      <c r="G39" s="19">
        <f t="shared" si="2"/>
        <v>0.5</v>
      </c>
      <c r="I39" s="187"/>
    </row>
    <row r="40" spans="1:9" s="186" customFormat="1" hidden="1" x14ac:dyDescent="0.25">
      <c r="A40" s="1">
        <v>42064</v>
      </c>
      <c r="B40" s="84">
        <v>16</v>
      </c>
      <c r="C40" s="186">
        <v>3</v>
      </c>
      <c r="D40" s="187">
        <v>9</v>
      </c>
      <c r="E40" s="187">
        <v>10</v>
      </c>
      <c r="F40" s="187">
        <v>2</v>
      </c>
      <c r="G40" s="19">
        <f t="shared" si="2"/>
        <v>0.22222222222222221</v>
      </c>
      <c r="I40" s="187"/>
    </row>
    <row r="41" spans="1:9" s="186" customFormat="1" hidden="1" x14ac:dyDescent="0.25">
      <c r="A41" s="1">
        <v>42095</v>
      </c>
      <c r="B41" s="84">
        <v>14</v>
      </c>
      <c r="C41" s="186">
        <v>3</v>
      </c>
      <c r="D41" s="187">
        <v>3</v>
      </c>
      <c r="E41" s="187">
        <v>20</v>
      </c>
      <c r="F41" s="187">
        <v>1</v>
      </c>
      <c r="G41" s="212">
        <f t="shared" si="2"/>
        <v>0.33333333333333331</v>
      </c>
      <c r="H41" s="19"/>
      <c r="I41" s="187"/>
    </row>
    <row r="42" spans="1:9" s="186" customFormat="1" x14ac:dyDescent="0.25">
      <c r="A42" s="1">
        <v>42125</v>
      </c>
      <c r="B42" s="84">
        <v>7</v>
      </c>
      <c r="C42" s="186">
        <v>3</v>
      </c>
      <c r="D42" s="187">
        <v>2</v>
      </c>
      <c r="E42" s="187">
        <v>6</v>
      </c>
      <c r="F42" s="187">
        <v>0</v>
      </c>
      <c r="G42" s="212">
        <f t="shared" si="2"/>
        <v>0</v>
      </c>
      <c r="H42" s="19"/>
      <c r="I42" s="187"/>
    </row>
    <row r="43" spans="1:9" s="186" customFormat="1" x14ac:dyDescent="0.25">
      <c r="A43" s="1">
        <v>42156</v>
      </c>
      <c r="B43" s="84">
        <v>3</v>
      </c>
      <c r="C43" s="186">
        <v>3</v>
      </c>
      <c r="D43" s="187">
        <v>1</v>
      </c>
      <c r="E43" s="187">
        <v>4</v>
      </c>
      <c r="F43" s="187">
        <v>0</v>
      </c>
      <c r="G43" s="212">
        <f t="shared" si="2"/>
        <v>0</v>
      </c>
      <c r="H43" s="19"/>
      <c r="I43" s="187"/>
    </row>
    <row r="44" spans="1:9" s="186" customFormat="1" x14ac:dyDescent="0.25">
      <c r="A44" s="1">
        <v>42200</v>
      </c>
      <c r="B44" s="84">
        <v>4</v>
      </c>
      <c r="C44" s="186">
        <v>3</v>
      </c>
      <c r="D44" s="187">
        <v>1</v>
      </c>
      <c r="E44" s="187">
        <v>8</v>
      </c>
      <c r="F44" s="187">
        <v>0</v>
      </c>
      <c r="G44" s="212">
        <f t="shared" si="2"/>
        <v>0</v>
      </c>
      <c r="H44" s="19"/>
      <c r="I44" s="187"/>
    </row>
    <row r="45" spans="1:9" s="186" customFormat="1" x14ac:dyDescent="0.25">
      <c r="A45" s="1">
        <v>42231</v>
      </c>
      <c r="B45" s="84">
        <v>11</v>
      </c>
      <c r="C45" s="186">
        <v>3</v>
      </c>
      <c r="D45" s="187">
        <v>0</v>
      </c>
      <c r="E45" s="187">
        <v>12</v>
      </c>
      <c r="F45" s="187">
        <v>0</v>
      </c>
      <c r="G45" s="212" t="e">
        <f t="shared" si="2"/>
        <v>#DIV/0!</v>
      </c>
      <c r="H45" s="19"/>
      <c r="I45" s="187"/>
    </row>
    <row r="46" spans="1:9" s="186" customFormat="1" x14ac:dyDescent="0.25">
      <c r="A46" s="1">
        <v>42262</v>
      </c>
      <c r="B46" s="84">
        <v>10</v>
      </c>
      <c r="C46" s="186">
        <v>3</v>
      </c>
      <c r="D46" s="187">
        <v>0</v>
      </c>
      <c r="E46" s="187">
        <v>15</v>
      </c>
      <c r="F46" s="187">
        <v>0</v>
      </c>
      <c r="G46" s="212" t="e">
        <f t="shared" si="2"/>
        <v>#DIV/0!</v>
      </c>
      <c r="H46" s="19"/>
      <c r="I46" s="187"/>
    </row>
    <row r="47" spans="1:9" s="186" customFormat="1" x14ac:dyDescent="0.25">
      <c r="A47" s="1">
        <v>42292</v>
      </c>
      <c r="B47" s="84">
        <v>5</v>
      </c>
      <c r="C47" s="186">
        <v>3</v>
      </c>
      <c r="D47" s="187">
        <v>1</v>
      </c>
      <c r="E47" s="187">
        <v>10</v>
      </c>
      <c r="F47" s="187">
        <v>1</v>
      </c>
      <c r="G47" s="212">
        <f t="shared" si="2"/>
        <v>1</v>
      </c>
      <c r="H47" s="19"/>
      <c r="I47" s="187"/>
    </row>
    <row r="48" spans="1:9" s="186" customFormat="1" x14ac:dyDescent="0.25">
      <c r="A48" s="1">
        <v>42309</v>
      </c>
      <c r="B48" s="84">
        <v>3</v>
      </c>
      <c r="C48" s="186">
        <v>3</v>
      </c>
      <c r="D48" s="187">
        <v>2</v>
      </c>
      <c r="E48" s="187">
        <v>1</v>
      </c>
      <c r="F48" s="187">
        <v>0</v>
      </c>
      <c r="G48" s="212">
        <f t="shared" si="2"/>
        <v>0</v>
      </c>
      <c r="H48" s="19"/>
      <c r="I48" s="187"/>
    </row>
    <row r="49" spans="1:20" s="186" customFormat="1" x14ac:dyDescent="0.25">
      <c r="A49" s="1">
        <v>42339</v>
      </c>
      <c r="B49" s="84">
        <v>1</v>
      </c>
      <c r="C49" s="186">
        <v>3</v>
      </c>
      <c r="D49" s="187">
        <v>3</v>
      </c>
      <c r="E49" s="187">
        <v>0</v>
      </c>
      <c r="F49" s="187">
        <v>2</v>
      </c>
      <c r="G49" s="212">
        <f t="shared" si="2"/>
        <v>0.66666666666666663</v>
      </c>
      <c r="H49" s="19"/>
      <c r="I49" s="187"/>
    </row>
    <row r="50" spans="1:20" s="186" customFormat="1" x14ac:dyDescent="0.25">
      <c r="A50" s="1">
        <v>42370</v>
      </c>
      <c r="B50" s="84">
        <v>4</v>
      </c>
      <c r="C50" s="186">
        <v>3</v>
      </c>
      <c r="D50" s="187">
        <v>7</v>
      </c>
      <c r="E50" s="187">
        <v>1</v>
      </c>
      <c r="F50" s="187">
        <v>4</v>
      </c>
      <c r="G50" s="212">
        <f t="shared" si="2"/>
        <v>0.5714285714285714</v>
      </c>
      <c r="H50" s="19"/>
      <c r="I50" s="187"/>
    </row>
    <row r="51" spans="1:20" s="186" customFormat="1" x14ac:dyDescent="0.25">
      <c r="A51" s="1">
        <v>42401</v>
      </c>
      <c r="B51" s="84">
        <v>4</v>
      </c>
      <c r="C51" s="186">
        <v>3</v>
      </c>
      <c r="D51" s="187">
        <v>9</v>
      </c>
      <c r="E51" s="187">
        <v>1</v>
      </c>
      <c r="F51" s="187">
        <v>6</v>
      </c>
      <c r="G51" s="212">
        <f t="shared" si="2"/>
        <v>0.66666666666666663</v>
      </c>
      <c r="H51" s="19"/>
      <c r="I51" s="187"/>
    </row>
    <row r="52" spans="1:20" s="186" customFormat="1" x14ac:dyDescent="0.25">
      <c r="A52" s="1">
        <v>42430</v>
      </c>
      <c r="B52" s="84">
        <v>3</v>
      </c>
      <c r="C52" s="186">
        <v>3</v>
      </c>
      <c r="D52" s="187">
        <v>11</v>
      </c>
      <c r="E52" s="187">
        <v>0</v>
      </c>
      <c r="F52" s="187">
        <v>9</v>
      </c>
      <c r="G52" s="212">
        <f t="shared" si="2"/>
        <v>0.81818181818181823</v>
      </c>
      <c r="H52" s="19"/>
      <c r="I52" s="187"/>
    </row>
    <row r="53" spans="1:20" s="186" customFormat="1" x14ac:dyDescent="0.25">
      <c r="A53" s="1">
        <v>42461</v>
      </c>
      <c r="B53" s="84">
        <v>3</v>
      </c>
      <c r="C53" s="186">
        <v>3</v>
      </c>
      <c r="D53" s="187">
        <v>11</v>
      </c>
      <c r="E53" s="187">
        <v>0</v>
      </c>
      <c r="F53" s="187">
        <v>9</v>
      </c>
      <c r="G53" s="212">
        <f t="shared" si="2"/>
        <v>0.81818181818181823</v>
      </c>
      <c r="H53" s="19"/>
      <c r="I53" s="187"/>
    </row>
    <row r="54" spans="1:20" s="186" customFormat="1" x14ac:dyDescent="0.25">
      <c r="A54" s="1">
        <v>42491</v>
      </c>
      <c r="B54" s="84">
        <v>3</v>
      </c>
      <c r="C54" s="186">
        <v>3</v>
      </c>
      <c r="D54" s="187">
        <v>12</v>
      </c>
      <c r="E54" s="187">
        <v>1</v>
      </c>
      <c r="F54" s="187">
        <v>10</v>
      </c>
      <c r="G54" s="212">
        <f t="shared" si="2"/>
        <v>0.83333333333333337</v>
      </c>
      <c r="H54" s="19"/>
      <c r="I54" s="187"/>
    </row>
    <row r="55" spans="1:20" s="186" customFormat="1" x14ac:dyDescent="0.25">
      <c r="A55" s="1">
        <v>42522</v>
      </c>
      <c r="B55" s="84">
        <v>5</v>
      </c>
      <c r="C55" s="186">
        <v>3</v>
      </c>
      <c r="D55" s="187">
        <v>15</v>
      </c>
      <c r="E55" s="187">
        <v>1</v>
      </c>
      <c r="F55" s="187">
        <v>11</v>
      </c>
      <c r="G55" s="212">
        <f t="shared" si="2"/>
        <v>0.73333333333333328</v>
      </c>
      <c r="H55" s="19"/>
      <c r="I55" s="187"/>
    </row>
    <row r="56" spans="1:20" s="186" customFormat="1" x14ac:dyDescent="0.25">
      <c r="A56" s="1">
        <v>42552</v>
      </c>
      <c r="B56" s="84">
        <v>5</v>
      </c>
      <c r="C56" s="186">
        <v>3</v>
      </c>
      <c r="D56" s="187">
        <v>20</v>
      </c>
      <c r="E56" s="187">
        <v>0</v>
      </c>
      <c r="F56" s="187">
        <v>15</v>
      </c>
      <c r="G56" s="212">
        <f t="shared" si="2"/>
        <v>0.75</v>
      </c>
      <c r="H56" s="19"/>
      <c r="I56" s="187"/>
    </row>
    <row r="57" spans="1:20" s="186" customFormat="1" x14ac:dyDescent="0.25">
      <c r="A57" s="1">
        <v>42583</v>
      </c>
      <c r="B57" s="84">
        <v>6</v>
      </c>
      <c r="C57" s="186">
        <v>3</v>
      </c>
      <c r="D57" s="187">
        <v>28</v>
      </c>
      <c r="E57" s="187">
        <v>0</v>
      </c>
      <c r="F57" s="187">
        <v>20</v>
      </c>
      <c r="G57" s="212">
        <f t="shared" si="2"/>
        <v>0.7142857142857143</v>
      </c>
      <c r="H57" s="19"/>
      <c r="I57" s="187"/>
    </row>
    <row r="58" spans="1:20" s="186" customFormat="1" x14ac:dyDescent="0.25">
      <c r="A58" s="1"/>
      <c r="B58" s="84"/>
      <c r="D58" s="187"/>
      <c r="E58" s="187"/>
      <c r="F58" s="187"/>
      <c r="G58" s="212"/>
      <c r="H58" s="19"/>
      <c r="I58" s="187"/>
    </row>
    <row r="59" spans="1:20" ht="60" x14ac:dyDescent="0.25">
      <c r="A59" s="2" t="s">
        <v>57</v>
      </c>
      <c r="B59" s="10" t="s">
        <v>2</v>
      </c>
      <c r="C59" s="46" t="s">
        <v>41</v>
      </c>
      <c r="D59" s="46" t="s">
        <v>42</v>
      </c>
      <c r="E59" s="10" t="s">
        <v>3</v>
      </c>
      <c r="F59" s="46" t="s">
        <v>41</v>
      </c>
      <c r="G59" s="46" t="s">
        <v>42</v>
      </c>
      <c r="H59" s="10" t="s">
        <v>4</v>
      </c>
      <c r="I59" s="46" t="s">
        <v>41</v>
      </c>
      <c r="J59" s="46" t="s">
        <v>42</v>
      </c>
      <c r="K59" s="10" t="s">
        <v>5</v>
      </c>
      <c r="L59" s="46" t="s">
        <v>41</v>
      </c>
      <c r="M59" s="46" t="s">
        <v>42</v>
      </c>
      <c r="N59" s="10" t="s">
        <v>6</v>
      </c>
      <c r="O59" s="46" t="s">
        <v>41</v>
      </c>
      <c r="P59" s="46" t="s">
        <v>42</v>
      </c>
      <c r="Q59" s="10" t="s">
        <v>7</v>
      </c>
      <c r="R59" s="46" t="s">
        <v>175</v>
      </c>
      <c r="S59" s="2"/>
      <c r="T59" s="46"/>
    </row>
    <row r="60" spans="1:20" hidden="1" x14ac:dyDescent="0.25">
      <c r="A60" s="12">
        <v>40817</v>
      </c>
      <c r="B60" s="7">
        <v>0.9</v>
      </c>
      <c r="C60" s="43" t="s">
        <v>160</v>
      </c>
      <c r="D60" s="43" t="s">
        <v>156</v>
      </c>
      <c r="E60" s="7">
        <f>D60/C60</f>
        <v>0.53333333333333333</v>
      </c>
      <c r="F60" s="43"/>
      <c r="G60" s="43"/>
      <c r="H60" s="7" t="s">
        <v>39</v>
      </c>
      <c r="I60" s="43"/>
      <c r="J60" s="43"/>
      <c r="K60" s="7">
        <v>0</v>
      </c>
      <c r="L60" s="43"/>
      <c r="M60" s="43"/>
      <c r="N60" s="7">
        <v>0.4</v>
      </c>
      <c r="O60" s="45"/>
      <c r="P60" s="45"/>
      <c r="Q60" s="7">
        <v>0.7</v>
      </c>
      <c r="S60" s="12"/>
      <c r="T60" s="43"/>
    </row>
    <row r="61" spans="1:20" hidden="1" x14ac:dyDescent="0.25">
      <c r="A61" s="12">
        <v>40848</v>
      </c>
      <c r="B61" s="7">
        <v>0.9</v>
      </c>
      <c r="C61" s="43" t="s">
        <v>156</v>
      </c>
      <c r="D61" s="43" t="s">
        <v>76</v>
      </c>
      <c r="E61" s="7">
        <f>D61/C61</f>
        <v>0.5</v>
      </c>
      <c r="F61" s="43"/>
      <c r="G61" s="43"/>
      <c r="H61" s="7" t="s">
        <v>39</v>
      </c>
      <c r="I61" s="43"/>
      <c r="J61" s="43"/>
      <c r="K61" s="7">
        <v>0</v>
      </c>
      <c r="L61" s="43"/>
      <c r="M61" s="43"/>
      <c r="N61" s="7">
        <v>0.35</v>
      </c>
      <c r="O61" s="45"/>
      <c r="P61" s="45"/>
      <c r="Q61" s="7">
        <v>0.56999999999999995</v>
      </c>
      <c r="S61" s="12"/>
      <c r="T61" s="43"/>
    </row>
    <row r="62" spans="1:20" hidden="1" x14ac:dyDescent="0.25">
      <c r="A62" s="12">
        <v>40878</v>
      </c>
      <c r="B62" s="7">
        <v>0.9</v>
      </c>
      <c r="C62" s="43" t="s">
        <v>73</v>
      </c>
      <c r="D62" s="43" t="s">
        <v>157</v>
      </c>
      <c r="E62" s="7">
        <f>D62/C62</f>
        <v>0.6</v>
      </c>
      <c r="F62" s="43"/>
      <c r="G62" s="43"/>
      <c r="H62" s="7" t="s">
        <v>39</v>
      </c>
      <c r="I62" s="43"/>
      <c r="J62" s="43"/>
      <c r="K62" s="7">
        <v>0</v>
      </c>
      <c r="L62" s="43"/>
      <c r="M62" s="43"/>
      <c r="N62" s="7">
        <v>0.45</v>
      </c>
      <c r="O62" s="45"/>
      <c r="P62" s="45"/>
      <c r="Q62" s="7">
        <v>0.6</v>
      </c>
      <c r="S62" s="12"/>
      <c r="T62" s="43"/>
    </row>
    <row r="63" spans="1:20" hidden="1" x14ac:dyDescent="0.25">
      <c r="A63" s="12">
        <v>40909</v>
      </c>
      <c r="B63" s="7">
        <v>0.9</v>
      </c>
      <c r="C63" s="43" t="s">
        <v>85</v>
      </c>
      <c r="D63" s="43" t="s">
        <v>85</v>
      </c>
      <c r="E63" s="7">
        <f>D63/C63</f>
        <v>1</v>
      </c>
      <c r="F63" s="43"/>
      <c r="G63" s="43"/>
      <c r="H63" s="7" t="s">
        <v>39</v>
      </c>
      <c r="I63" s="43"/>
      <c r="J63" s="43"/>
      <c r="K63" s="7" t="s">
        <v>39</v>
      </c>
      <c r="L63" s="43"/>
      <c r="M63" s="43"/>
      <c r="N63" s="7" t="s">
        <v>39</v>
      </c>
      <c r="O63" s="45"/>
      <c r="P63" s="45"/>
      <c r="Q63" s="7">
        <v>1</v>
      </c>
      <c r="S63" s="12"/>
      <c r="T63" s="43"/>
    </row>
    <row r="64" spans="1:20" hidden="1" x14ac:dyDescent="0.25">
      <c r="A64" s="12">
        <v>40940</v>
      </c>
      <c r="B64" s="7">
        <v>0.9</v>
      </c>
      <c r="C64" s="43" t="s">
        <v>158</v>
      </c>
      <c r="D64" s="43" t="s">
        <v>158</v>
      </c>
      <c r="E64" s="7">
        <v>0</v>
      </c>
      <c r="F64" s="43"/>
      <c r="G64" s="43"/>
      <c r="H64" s="7" t="s">
        <v>39</v>
      </c>
      <c r="I64" s="43"/>
      <c r="J64" s="43"/>
      <c r="K64" s="7" t="s">
        <v>39</v>
      </c>
      <c r="L64" s="43"/>
      <c r="M64" s="43"/>
      <c r="N64" s="7" t="s">
        <v>39</v>
      </c>
      <c r="O64" s="45"/>
      <c r="P64" s="45"/>
      <c r="Q64" s="7" t="s">
        <v>39</v>
      </c>
      <c r="S64" s="12"/>
      <c r="T64" s="43"/>
    </row>
    <row r="65" spans="1:20" hidden="1" x14ac:dyDescent="0.25">
      <c r="A65" s="12">
        <v>40969</v>
      </c>
      <c r="B65" s="7">
        <v>0.9</v>
      </c>
      <c r="C65" s="43" t="s">
        <v>158</v>
      </c>
      <c r="D65" s="43" t="s">
        <v>158</v>
      </c>
      <c r="E65" s="7">
        <v>0</v>
      </c>
      <c r="F65" s="43"/>
      <c r="G65" s="43"/>
      <c r="H65" s="7" t="s">
        <v>39</v>
      </c>
      <c r="I65" s="43"/>
      <c r="J65" s="43"/>
      <c r="K65" s="7" t="s">
        <v>39</v>
      </c>
      <c r="L65" s="43"/>
      <c r="M65" s="43"/>
      <c r="N65" s="7" t="s">
        <v>39</v>
      </c>
      <c r="O65" s="45"/>
      <c r="P65" s="45"/>
      <c r="Q65" s="7" t="s">
        <v>39</v>
      </c>
      <c r="S65" s="12"/>
      <c r="T65" s="43"/>
    </row>
    <row r="66" spans="1:20" hidden="1" x14ac:dyDescent="0.25">
      <c r="A66" s="12">
        <v>41000</v>
      </c>
      <c r="B66" s="7">
        <v>0.9</v>
      </c>
      <c r="C66" s="43" t="s">
        <v>159</v>
      </c>
      <c r="D66" s="43" t="s">
        <v>156</v>
      </c>
      <c r="E66" s="7">
        <f t="shared" ref="E66:E85" si="3">D66/C66</f>
        <v>0.66666666666666663</v>
      </c>
      <c r="F66" s="43" t="s">
        <v>85</v>
      </c>
      <c r="G66" s="43" t="s">
        <v>158</v>
      </c>
      <c r="H66" s="7">
        <f>G66/F66</f>
        <v>0</v>
      </c>
      <c r="I66" s="43" t="s">
        <v>86</v>
      </c>
      <c r="J66" s="43" t="s">
        <v>85</v>
      </c>
      <c r="K66" s="7">
        <f>J66/I66</f>
        <v>0.5</v>
      </c>
      <c r="L66" s="43" t="s">
        <v>85</v>
      </c>
      <c r="M66" s="43" t="s">
        <v>85</v>
      </c>
      <c r="N66" s="7">
        <f>M66/L66</f>
        <v>1</v>
      </c>
      <c r="O66" s="48" t="s">
        <v>156</v>
      </c>
      <c r="P66" s="48" t="s">
        <v>157</v>
      </c>
      <c r="Q66" s="7">
        <f t="shared" ref="Q66:Q76" si="4">P66/O66</f>
        <v>0.75</v>
      </c>
      <c r="S66" s="12"/>
      <c r="T66" s="43"/>
    </row>
    <row r="67" spans="1:20" hidden="1" x14ac:dyDescent="0.25">
      <c r="A67" s="12">
        <v>41030</v>
      </c>
      <c r="B67" s="7">
        <v>0.9</v>
      </c>
      <c r="C67" s="52">
        <v>11</v>
      </c>
      <c r="D67" s="52">
        <v>2</v>
      </c>
      <c r="E67" s="7">
        <f t="shared" si="3"/>
        <v>0.18181818181818182</v>
      </c>
      <c r="F67" s="43" t="s">
        <v>158</v>
      </c>
      <c r="G67" s="43" t="s">
        <v>158</v>
      </c>
      <c r="H67" s="7">
        <v>0</v>
      </c>
      <c r="I67" s="52">
        <v>1</v>
      </c>
      <c r="J67" s="52">
        <v>0</v>
      </c>
      <c r="K67" s="7">
        <v>0</v>
      </c>
      <c r="L67" s="43" t="s">
        <v>158</v>
      </c>
      <c r="M67" s="43" t="s">
        <v>158</v>
      </c>
      <c r="N67" s="7">
        <f>-N68-N68</f>
        <v>0</v>
      </c>
      <c r="O67" s="53">
        <v>10</v>
      </c>
      <c r="P67" s="53">
        <v>2</v>
      </c>
      <c r="Q67" s="7">
        <f t="shared" si="4"/>
        <v>0.2</v>
      </c>
      <c r="S67" s="12"/>
      <c r="T67" s="52"/>
    </row>
    <row r="68" spans="1:20" hidden="1" x14ac:dyDescent="0.25">
      <c r="A68" s="12">
        <v>41061</v>
      </c>
      <c r="B68" s="7">
        <v>0.9</v>
      </c>
      <c r="C68" s="79">
        <f>F68+I68+L68+O68</f>
        <v>6</v>
      </c>
      <c r="D68" s="79">
        <f>G68+J68+M68+P68</f>
        <v>4</v>
      </c>
      <c r="E68" s="7">
        <f t="shared" si="3"/>
        <v>0.66666666666666663</v>
      </c>
      <c r="F68" s="43" t="s">
        <v>158</v>
      </c>
      <c r="G68" s="43" t="s">
        <v>158</v>
      </c>
      <c r="H68" s="7">
        <v>0</v>
      </c>
      <c r="I68" s="43" t="s">
        <v>85</v>
      </c>
      <c r="J68" s="43" t="s">
        <v>158</v>
      </c>
      <c r="K68" s="7">
        <v>0</v>
      </c>
      <c r="L68" s="43" t="s">
        <v>158</v>
      </c>
      <c r="M68" s="43" t="s">
        <v>158</v>
      </c>
      <c r="N68" s="7">
        <f>-N69-N69</f>
        <v>0</v>
      </c>
      <c r="O68" s="48" t="s">
        <v>75</v>
      </c>
      <c r="P68" s="48" t="s">
        <v>76</v>
      </c>
      <c r="Q68" s="7">
        <f t="shared" si="4"/>
        <v>0.8</v>
      </c>
      <c r="R68">
        <v>0</v>
      </c>
      <c r="S68" s="12"/>
      <c r="T68" s="79"/>
    </row>
    <row r="69" spans="1:20" hidden="1" x14ac:dyDescent="0.25">
      <c r="A69" s="12">
        <v>41091</v>
      </c>
      <c r="B69" s="7">
        <v>0.9</v>
      </c>
      <c r="C69" s="43" t="s">
        <v>223</v>
      </c>
      <c r="D69" s="43" t="s">
        <v>76</v>
      </c>
      <c r="E69" s="7">
        <f t="shared" si="3"/>
        <v>0.5714285714285714</v>
      </c>
      <c r="F69" s="43" t="s">
        <v>158</v>
      </c>
      <c r="G69" s="43" t="s">
        <v>158</v>
      </c>
      <c r="H69" s="7">
        <v>0</v>
      </c>
      <c r="I69" s="43" t="s">
        <v>86</v>
      </c>
      <c r="J69" s="43" t="s">
        <v>158</v>
      </c>
      <c r="K69" s="7">
        <v>0</v>
      </c>
      <c r="L69" s="43" t="s">
        <v>86</v>
      </c>
      <c r="M69" s="43" t="s">
        <v>86</v>
      </c>
      <c r="N69" s="7">
        <f>-N70-N70</f>
        <v>0</v>
      </c>
      <c r="O69" s="48" t="s">
        <v>84</v>
      </c>
      <c r="P69" s="48" t="s">
        <v>86</v>
      </c>
      <c r="Q69" s="7">
        <f t="shared" si="4"/>
        <v>0.66666666666666663</v>
      </c>
      <c r="R69">
        <v>10</v>
      </c>
      <c r="S69" s="12"/>
      <c r="T69" s="43"/>
    </row>
    <row r="70" spans="1:20" hidden="1" x14ac:dyDescent="0.25">
      <c r="A70" s="12">
        <v>41122</v>
      </c>
      <c r="B70" s="7">
        <v>0.9</v>
      </c>
      <c r="C70" s="43" t="s">
        <v>224</v>
      </c>
      <c r="D70" s="43" t="s">
        <v>223</v>
      </c>
      <c r="E70" s="7">
        <f t="shared" si="3"/>
        <v>0.77777777777777779</v>
      </c>
      <c r="F70" s="43" t="s">
        <v>158</v>
      </c>
      <c r="G70" s="43" t="s">
        <v>158</v>
      </c>
      <c r="H70" s="7">
        <v>0</v>
      </c>
      <c r="I70" s="43" t="s">
        <v>158</v>
      </c>
      <c r="J70" s="43" t="s">
        <v>158</v>
      </c>
      <c r="K70" s="7">
        <v>0</v>
      </c>
      <c r="L70" s="43" t="s">
        <v>85</v>
      </c>
      <c r="M70" s="43" t="s">
        <v>158</v>
      </c>
      <c r="N70" s="7">
        <f>-N71-N71</f>
        <v>0</v>
      </c>
      <c r="O70" s="48" t="s">
        <v>156</v>
      </c>
      <c r="P70" s="48" t="s">
        <v>223</v>
      </c>
      <c r="Q70" s="7">
        <f t="shared" si="4"/>
        <v>0.875</v>
      </c>
      <c r="R70">
        <v>2</v>
      </c>
      <c r="S70" s="12"/>
      <c r="T70" s="43"/>
    </row>
    <row r="71" spans="1:20" hidden="1" x14ac:dyDescent="0.25">
      <c r="A71" s="12">
        <v>41153</v>
      </c>
      <c r="B71" s="7">
        <v>0.9</v>
      </c>
      <c r="C71" s="43" t="s">
        <v>159</v>
      </c>
      <c r="D71" s="43" t="s">
        <v>156</v>
      </c>
      <c r="E71" s="7">
        <f t="shared" si="3"/>
        <v>0.66666666666666663</v>
      </c>
      <c r="F71" s="43" t="s">
        <v>85</v>
      </c>
      <c r="G71" s="43" t="s">
        <v>158</v>
      </c>
      <c r="H71" s="7">
        <v>0</v>
      </c>
      <c r="I71" s="43" t="s">
        <v>158</v>
      </c>
      <c r="J71" s="43" t="s">
        <v>158</v>
      </c>
      <c r="K71" s="7">
        <v>0</v>
      </c>
      <c r="L71" s="43" t="s">
        <v>85</v>
      </c>
      <c r="M71" s="43" t="s">
        <v>85</v>
      </c>
      <c r="N71" s="7">
        <f>-N72-N72</f>
        <v>0</v>
      </c>
      <c r="O71" s="48" t="s">
        <v>73</v>
      </c>
      <c r="P71" s="48" t="s">
        <v>223</v>
      </c>
      <c r="Q71" s="7">
        <f t="shared" si="4"/>
        <v>0.7</v>
      </c>
      <c r="R71">
        <v>0</v>
      </c>
      <c r="S71" s="12"/>
      <c r="T71" s="43"/>
    </row>
    <row r="72" spans="1:20" hidden="1" x14ac:dyDescent="0.25">
      <c r="A72" s="12">
        <v>41183</v>
      </c>
      <c r="B72" s="7">
        <v>0.9</v>
      </c>
      <c r="C72" s="43" t="s">
        <v>223</v>
      </c>
      <c r="D72" s="43" t="s">
        <v>75</v>
      </c>
      <c r="E72" s="7">
        <f t="shared" si="3"/>
        <v>0.7142857142857143</v>
      </c>
      <c r="F72" s="43" t="s">
        <v>158</v>
      </c>
      <c r="G72" s="43" t="s">
        <v>158</v>
      </c>
      <c r="H72" s="7">
        <v>0</v>
      </c>
      <c r="I72" s="43" t="s">
        <v>85</v>
      </c>
      <c r="J72" s="43" t="s">
        <v>85</v>
      </c>
      <c r="K72" s="7">
        <f>J72/I72</f>
        <v>1</v>
      </c>
      <c r="L72" s="43" t="s">
        <v>158</v>
      </c>
      <c r="M72" s="43" t="s">
        <v>158</v>
      </c>
      <c r="N72" s="7">
        <v>0</v>
      </c>
      <c r="O72" s="48" t="s">
        <v>157</v>
      </c>
      <c r="P72" s="48" t="s">
        <v>76</v>
      </c>
      <c r="Q72" s="7">
        <f t="shared" si="4"/>
        <v>0.66666666666666663</v>
      </c>
      <c r="R72">
        <v>0</v>
      </c>
      <c r="S72" s="12"/>
      <c r="T72" s="43"/>
    </row>
    <row r="73" spans="1:20" hidden="1" x14ac:dyDescent="0.25">
      <c r="A73" s="12">
        <v>41214</v>
      </c>
      <c r="B73" s="7">
        <v>0.9</v>
      </c>
      <c r="C73" s="43" t="s">
        <v>159</v>
      </c>
      <c r="D73" s="43" t="s">
        <v>156</v>
      </c>
      <c r="E73" s="7">
        <f t="shared" si="3"/>
        <v>0.66666666666666663</v>
      </c>
      <c r="F73" s="43" t="s">
        <v>158</v>
      </c>
      <c r="G73" s="43" t="s">
        <v>158</v>
      </c>
      <c r="H73" s="7">
        <v>0</v>
      </c>
      <c r="I73" s="43" t="s">
        <v>158</v>
      </c>
      <c r="J73" s="43" t="s">
        <v>158</v>
      </c>
      <c r="K73" s="7">
        <v>0</v>
      </c>
      <c r="L73" s="43" t="s">
        <v>85</v>
      </c>
      <c r="M73" s="43" t="s">
        <v>158</v>
      </c>
      <c r="N73" s="7">
        <v>0</v>
      </c>
      <c r="O73" s="48" t="s">
        <v>59</v>
      </c>
      <c r="P73" s="48" t="s">
        <v>156</v>
      </c>
      <c r="Q73" s="7">
        <f t="shared" si="4"/>
        <v>0.72727272727272729</v>
      </c>
      <c r="R73">
        <v>0</v>
      </c>
      <c r="S73" s="12"/>
      <c r="T73" s="43"/>
    </row>
    <row r="74" spans="1:20" hidden="1" x14ac:dyDescent="0.25">
      <c r="A74" s="12">
        <v>41244</v>
      </c>
      <c r="B74" s="7">
        <v>0.9</v>
      </c>
      <c r="C74" s="104">
        <v>6</v>
      </c>
      <c r="D74" s="104">
        <v>5</v>
      </c>
      <c r="E74" s="7">
        <f t="shared" si="3"/>
        <v>0.83333333333333337</v>
      </c>
      <c r="F74" s="104">
        <v>0</v>
      </c>
      <c r="G74" s="104">
        <v>0</v>
      </c>
      <c r="H74" s="7">
        <v>0</v>
      </c>
      <c r="I74" s="104">
        <v>0</v>
      </c>
      <c r="J74" s="104">
        <v>0</v>
      </c>
      <c r="K74" s="7">
        <v>0</v>
      </c>
      <c r="L74" s="104">
        <v>0</v>
      </c>
      <c r="M74" s="104">
        <v>0</v>
      </c>
      <c r="N74" s="7">
        <v>0</v>
      </c>
      <c r="O74" s="53">
        <v>6</v>
      </c>
      <c r="P74" s="53">
        <v>5</v>
      </c>
      <c r="Q74" s="7">
        <f t="shared" si="4"/>
        <v>0.83333333333333337</v>
      </c>
      <c r="R74">
        <v>0</v>
      </c>
      <c r="S74" s="12"/>
      <c r="T74" s="104"/>
    </row>
    <row r="75" spans="1:20" hidden="1" x14ac:dyDescent="0.25">
      <c r="A75" s="12">
        <v>41275</v>
      </c>
      <c r="B75" s="7">
        <v>0.9</v>
      </c>
      <c r="C75" s="104">
        <v>9</v>
      </c>
      <c r="D75" s="104">
        <v>8</v>
      </c>
      <c r="E75" s="7">
        <f t="shared" si="3"/>
        <v>0.88888888888888884</v>
      </c>
      <c r="F75" s="104">
        <v>0</v>
      </c>
      <c r="G75" s="104">
        <v>0</v>
      </c>
      <c r="H75" s="7">
        <v>0</v>
      </c>
      <c r="I75" s="104">
        <v>1</v>
      </c>
      <c r="J75" s="104">
        <v>1</v>
      </c>
      <c r="K75" s="7">
        <v>1</v>
      </c>
      <c r="L75" s="104">
        <v>0</v>
      </c>
      <c r="M75" s="104">
        <v>0</v>
      </c>
      <c r="N75" s="7">
        <v>0</v>
      </c>
      <c r="O75" s="53">
        <v>8</v>
      </c>
      <c r="P75" s="53">
        <v>7</v>
      </c>
      <c r="Q75" s="7">
        <f t="shared" si="4"/>
        <v>0.875</v>
      </c>
      <c r="R75" s="120">
        <v>0</v>
      </c>
      <c r="S75" s="12"/>
      <c r="T75" s="104"/>
    </row>
    <row r="76" spans="1:20" hidden="1" x14ac:dyDescent="0.25">
      <c r="A76" s="12">
        <v>41306</v>
      </c>
      <c r="B76" s="7">
        <v>0.9</v>
      </c>
      <c r="C76" s="104">
        <v>5</v>
      </c>
      <c r="D76" s="104">
        <v>4</v>
      </c>
      <c r="E76" s="7">
        <f t="shared" si="3"/>
        <v>0.8</v>
      </c>
      <c r="F76" s="104">
        <v>0</v>
      </c>
      <c r="G76" s="104">
        <v>0</v>
      </c>
      <c r="H76" s="7">
        <v>0</v>
      </c>
      <c r="I76" s="104">
        <v>0</v>
      </c>
      <c r="J76" s="104">
        <v>0</v>
      </c>
      <c r="K76" s="7">
        <v>0</v>
      </c>
      <c r="L76" s="104">
        <v>0</v>
      </c>
      <c r="M76" s="104">
        <v>0</v>
      </c>
      <c r="N76" s="7">
        <v>0</v>
      </c>
      <c r="O76" s="53">
        <v>5</v>
      </c>
      <c r="P76" s="53">
        <v>4</v>
      </c>
      <c r="Q76" s="7">
        <f t="shared" si="4"/>
        <v>0.8</v>
      </c>
      <c r="R76" s="120">
        <v>0</v>
      </c>
      <c r="S76" s="12"/>
      <c r="T76" s="104"/>
    </row>
    <row r="77" spans="1:20" hidden="1" x14ac:dyDescent="0.25">
      <c r="A77" s="12">
        <v>41334</v>
      </c>
      <c r="B77" s="7">
        <v>0.9</v>
      </c>
      <c r="C77" s="104">
        <v>47</v>
      </c>
      <c r="D77" s="104">
        <v>7</v>
      </c>
      <c r="E77" s="7">
        <f t="shared" si="3"/>
        <v>0.14893617021276595</v>
      </c>
      <c r="F77" s="104">
        <v>1</v>
      </c>
      <c r="G77" s="104">
        <v>0</v>
      </c>
      <c r="H77" s="7">
        <v>0</v>
      </c>
      <c r="I77" s="104">
        <v>1</v>
      </c>
      <c r="J77" s="104">
        <v>0</v>
      </c>
      <c r="K77" s="7">
        <v>0</v>
      </c>
      <c r="L77" s="104">
        <v>1</v>
      </c>
      <c r="M77" s="104">
        <v>1</v>
      </c>
      <c r="N77" s="7">
        <v>1</v>
      </c>
      <c r="O77" s="53">
        <v>44</v>
      </c>
      <c r="P77" s="53">
        <v>6</v>
      </c>
      <c r="Q77" s="7">
        <f t="shared" ref="Q77:Q99" si="5">P77/O77</f>
        <v>0.13636363636363635</v>
      </c>
      <c r="R77" s="120">
        <v>1</v>
      </c>
      <c r="S77" s="12"/>
      <c r="T77" s="104"/>
    </row>
    <row r="78" spans="1:20" hidden="1" x14ac:dyDescent="0.25">
      <c r="A78" s="12">
        <v>41365</v>
      </c>
      <c r="B78" s="7">
        <v>0.9</v>
      </c>
      <c r="C78" s="44" t="s">
        <v>197</v>
      </c>
      <c r="D78" s="44" t="s">
        <v>60</v>
      </c>
      <c r="E78" s="7">
        <f t="shared" si="3"/>
        <v>0.82352941176470584</v>
      </c>
      <c r="F78" s="44" t="s">
        <v>158</v>
      </c>
      <c r="G78" s="44" t="s">
        <v>158</v>
      </c>
      <c r="H78" s="7">
        <v>0</v>
      </c>
      <c r="I78" s="44" t="s">
        <v>85</v>
      </c>
      <c r="J78" s="44" t="s">
        <v>85</v>
      </c>
      <c r="K78" s="7">
        <v>0</v>
      </c>
      <c r="L78" s="44" t="s">
        <v>85</v>
      </c>
      <c r="M78" s="44" t="s">
        <v>85</v>
      </c>
      <c r="N78" s="7">
        <v>1</v>
      </c>
      <c r="O78" s="48" t="s">
        <v>160</v>
      </c>
      <c r="P78" s="48" t="s">
        <v>159</v>
      </c>
      <c r="Q78" s="7">
        <f t="shared" si="5"/>
        <v>0.8</v>
      </c>
      <c r="R78" s="120">
        <v>3</v>
      </c>
      <c r="S78" s="12"/>
      <c r="T78" s="182"/>
    </row>
    <row r="79" spans="1:20" hidden="1" x14ac:dyDescent="0.25">
      <c r="A79" s="12">
        <v>41395</v>
      </c>
      <c r="B79" s="7">
        <v>0.9</v>
      </c>
      <c r="C79" s="44" t="s">
        <v>60</v>
      </c>
      <c r="D79" s="44" t="s">
        <v>159</v>
      </c>
      <c r="E79" s="7">
        <f t="shared" si="3"/>
        <v>0.8571428571428571</v>
      </c>
      <c r="F79" s="44" t="s">
        <v>158</v>
      </c>
      <c r="G79" s="44" t="s">
        <v>158</v>
      </c>
      <c r="H79" s="10">
        <v>0</v>
      </c>
      <c r="I79" s="44" t="s">
        <v>158</v>
      </c>
      <c r="J79" s="44" t="s">
        <v>158</v>
      </c>
      <c r="K79" s="10">
        <v>0</v>
      </c>
      <c r="L79" s="44" t="s">
        <v>86</v>
      </c>
      <c r="M79" s="44" t="s">
        <v>86</v>
      </c>
      <c r="N79" s="7">
        <v>1</v>
      </c>
      <c r="O79" s="48" t="s">
        <v>159</v>
      </c>
      <c r="P79" s="48" t="s">
        <v>73</v>
      </c>
      <c r="Q79" s="7">
        <f t="shared" si="5"/>
        <v>0.83333333333333337</v>
      </c>
      <c r="R79" s="120">
        <v>9</v>
      </c>
      <c r="S79" s="12"/>
      <c r="T79" s="182"/>
    </row>
    <row r="80" spans="1:20" hidden="1" x14ac:dyDescent="0.25">
      <c r="A80" s="12">
        <v>41426</v>
      </c>
      <c r="B80" s="7">
        <v>0.9</v>
      </c>
      <c r="C80" s="44" t="s">
        <v>383</v>
      </c>
      <c r="D80" s="44" t="s">
        <v>384</v>
      </c>
      <c r="E80" s="7">
        <f t="shared" si="3"/>
        <v>0.94594594594594594</v>
      </c>
      <c r="F80" s="44" t="s">
        <v>85</v>
      </c>
      <c r="G80" s="44" t="s">
        <v>85</v>
      </c>
      <c r="H80" s="7">
        <f t="shared" ref="H80:H99" si="6">G80/F80</f>
        <v>1</v>
      </c>
      <c r="I80" s="44" t="s">
        <v>85</v>
      </c>
      <c r="J80" s="44" t="s">
        <v>85</v>
      </c>
      <c r="K80" s="7">
        <f t="shared" ref="K80:K99" si="7">J80/I80</f>
        <v>1</v>
      </c>
      <c r="L80" s="44" t="s">
        <v>85</v>
      </c>
      <c r="M80" s="44" t="s">
        <v>85</v>
      </c>
      <c r="N80" s="7">
        <v>1</v>
      </c>
      <c r="O80" s="48" t="s">
        <v>134</v>
      </c>
      <c r="P80" s="48" t="s">
        <v>137</v>
      </c>
      <c r="Q80" s="7">
        <f t="shared" si="5"/>
        <v>0.94117647058823528</v>
      </c>
      <c r="R80" s="120">
        <v>23</v>
      </c>
      <c r="S80" s="12"/>
      <c r="T80" s="182"/>
    </row>
    <row r="81" spans="1:20" hidden="1" x14ac:dyDescent="0.25">
      <c r="A81" s="12">
        <v>41456</v>
      </c>
      <c r="B81" s="7">
        <v>0.9</v>
      </c>
      <c r="C81" s="153" t="s">
        <v>132</v>
      </c>
      <c r="D81" s="153" t="s">
        <v>132</v>
      </c>
      <c r="E81" s="7">
        <f t="shared" si="3"/>
        <v>1</v>
      </c>
      <c r="F81" s="153" t="s">
        <v>158</v>
      </c>
      <c r="G81" s="153" t="s">
        <v>158</v>
      </c>
      <c r="H81" s="7" t="e">
        <f t="shared" si="6"/>
        <v>#DIV/0!</v>
      </c>
      <c r="I81" s="153" t="s">
        <v>158</v>
      </c>
      <c r="J81" s="153" t="s">
        <v>158</v>
      </c>
      <c r="K81" s="7" t="e">
        <f t="shared" si="7"/>
        <v>#DIV/0!</v>
      </c>
      <c r="L81" s="153" t="s">
        <v>85</v>
      </c>
      <c r="M81" s="153" t="s">
        <v>85</v>
      </c>
      <c r="N81" s="7">
        <v>1</v>
      </c>
      <c r="O81" s="48" t="s">
        <v>228</v>
      </c>
      <c r="P81" s="48" t="s">
        <v>228</v>
      </c>
      <c r="Q81" s="7">
        <f t="shared" si="5"/>
        <v>1</v>
      </c>
      <c r="R81" s="120">
        <v>1</v>
      </c>
      <c r="S81" s="12"/>
      <c r="T81" s="182"/>
    </row>
    <row r="82" spans="1:20" hidden="1" x14ac:dyDescent="0.25">
      <c r="A82" s="12">
        <v>41487</v>
      </c>
      <c r="B82" s="7">
        <v>0.9</v>
      </c>
      <c r="C82" s="154" t="s">
        <v>181</v>
      </c>
      <c r="D82" s="154" t="s">
        <v>248</v>
      </c>
      <c r="E82" s="7">
        <f t="shared" si="3"/>
        <v>0.8125</v>
      </c>
      <c r="F82" s="154" t="s">
        <v>158</v>
      </c>
      <c r="G82" s="154" t="s">
        <v>158</v>
      </c>
      <c r="H82" s="7" t="e">
        <f t="shared" si="6"/>
        <v>#DIV/0!</v>
      </c>
      <c r="I82" s="154" t="s">
        <v>158</v>
      </c>
      <c r="J82" s="154" t="s">
        <v>158</v>
      </c>
      <c r="K82" s="7" t="e">
        <f t="shared" si="7"/>
        <v>#DIV/0!</v>
      </c>
      <c r="L82" s="154" t="s">
        <v>75</v>
      </c>
      <c r="M82" s="154" t="s">
        <v>75</v>
      </c>
      <c r="N82" s="7">
        <v>1</v>
      </c>
      <c r="O82" s="48" t="s">
        <v>59</v>
      </c>
      <c r="P82" s="48" t="s">
        <v>156</v>
      </c>
      <c r="Q82" s="7">
        <f t="shared" si="5"/>
        <v>0.72727272727272729</v>
      </c>
      <c r="R82" s="120">
        <v>0</v>
      </c>
      <c r="S82" s="12"/>
      <c r="T82" s="182"/>
    </row>
    <row r="83" spans="1:20" hidden="1" x14ac:dyDescent="0.25">
      <c r="A83" s="12">
        <v>41518</v>
      </c>
      <c r="B83" s="7">
        <v>0.9</v>
      </c>
      <c r="C83" s="155" t="s">
        <v>159</v>
      </c>
      <c r="D83" s="155" t="s">
        <v>157</v>
      </c>
      <c r="E83" s="7">
        <f t="shared" si="3"/>
        <v>0.5</v>
      </c>
      <c r="F83" s="155" t="s">
        <v>158</v>
      </c>
      <c r="G83" s="155" t="s">
        <v>158</v>
      </c>
      <c r="H83" s="7" t="e">
        <f t="shared" si="6"/>
        <v>#DIV/0!</v>
      </c>
      <c r="I83" s="155" t="s">
        <v>85</v>
      </c>
      <c r="J83" s="155" t="s">
        <v>85</v>
      </c>
      <c r="K83" s="7">
        <f t="shared" si="7"/>
        <v>1</v>
      </c>
      <c r="L83" s="155" t="s">
        <v>84</v>
      </c>
      <c r="M83" s="155" t="s">
        <v>158</v>
      </c>
      <c r="N83" s="7">
        <f t="shared" ref="N83:N99" si="8">M83/L83</f>
        <v>0</v>
      </c>
      <c r="O83" s="48" t="s">
        <v>156</v>
      </c>
      <c r="P83" s="48" t="s">
        <v>75</v>
      </c>
      <c r="Q83" s="7">
        <f t="shared" si="5"/>
        <v>0.625</v>
      </c>
      <c r="R83" s="120">
        <v>0</v>
      </c>
      <c r="S83" s="12"/>
      <c r="T83" s="182"/>
    </row>
    <row r="84" spans="1:20" hidden="1" x14ac:dyDescent="0.25">
      <c r="A84" s="12">
        <v>41548</v>
      </c>
      <c r="B84" s="7">
        <v>0.9</v>
      </c>
      <c r="C84" s="155" t="s">
        <v>75</v>
      </c>
      <c r="D84" s="155" t="s">
        <v>75</v>
      </c>
      <c r="E84" s="7">
        <f t="shared" si="3"/>
        <v>1</v>
      </c>
      <c r="F84" s="155" t="s">
        <v>158</v>
      </c>
      <c r="G84" s="155" t="s">
        <v>158</v>
      </c>
      <c r="H84" s="7" t="e">
        <f t="shared" si="6"/>
        <v>#DIV/0!</v>
      </c>
      <c r="I84" s="155" t="s">
        <v>85</v>
      </c>
      <c r="J84" s="155" t="s">
        <v>85</v>
      </c>
      <c r="K84" s="7">
        <f t="shared" si="7"/>
        <v>1</v>
      </c>
      <c r="L84" s="155" t="s">
        <v>85</v>
      </c>
      <c r="M84" s="155" t="s">
        <v>85</v>
      </c>
      <c r="N84" s="7">
        <f t="shared" si="8"/>
        <v>1</v>
      </c>
      <c r="O84" s="48" t="s">
        <v>84</v>
      </c>
      <c r="P84" s="48" t="s">
        <v>84</v>
      </c>
      <c r="Q84" s="7">
        <f t="shared" si="5"/>
        <v>1</v>
      </c>
      <c r="R84" s="120">
        <v>1</v>
      </c>
      <c r="S84" s="12"/>
      <c r="T84" s="182"/>
    </row>
    <row r="85" spans="1:20" hidden="1" x14ac:dyDescent="0.25">
      <c r="A85" s="12">
        <v>41579</v>
      </c>
      <c r="B85" s="7">
        <v>0.9</v>
      </c>
      <c r="C85" s="171" t="s">
        <v>157</v>
      </c>
      <c r="D85" s="171" t="s">
        <v>84</v>
      </c>
      <c r="E85" s="7">
        <f t="shared" si="3"/>
        <v>0.5</v>
      </c>
      <c r="F85" s="171" t="s">
        <v>158</v>
      </c>
      <c r="G85" s="171" t="s">
        <v>158</v>
      </c>
      <c r="H85" s="7" t="e">
        <f t="shared" si="6"/>
        <v>#DIV/0!</v>
      </c>
      <c r="I85" s="171" t="s">
        <v>158</v>
      </c>
      <c r="J85" s="171" t="s">
        <v>158</v>
      </c>
      <c r="K85" s="7" t="e">
        <f t="shared" si="7"/>
        <v>#DIV/0!</v>
      </c>
      <c r="L85" s="171" t="s">
        <v>158</v>
      </c>
      <c r="M85" s="171" t="s">
        <v>158</v>
      </c>
      <c r="N85" s="7" t="e">
        <f t="shared" si="8"/>
        <v>#DIV/0!</v>
      </c>
      <c r="O85" s="48" t="s">
        <v>157</v>
      </c>
      <c r="P85" s="48" t="s">
        <v>84</v>
      </c>
      <c r="Q85" s="7">
        <f t="shared" si="5"/>
        <v>0.5</v>
      </c>
      <c r="R85" s="120">
        <v>5</v>
      </c>
      <c r="S85" s="12"/>
      <c r="T85" s="182"/>
    </row>
    <row r="86" spans="1:20" hidden="1" x14ac:dyDescent="0.25">
      <c r="A86" s="12">
        <v>41609</v>
      </c>
      <c r="B86" s="7">
        <v>0.9</v>
      </c>
      <c r="C86" s="173" t="s">
        <v>86</v>
      </c>
      <c r="D86" s="173" t="s">
        <v>86</v>
      </c>
      <c r="E86" s="7">
        <v>1</v>
      </c>
      <c r="F86" s="173" t="s">
        <v>158</v>
      </c>
      <c r="G86" s="173" t="s">
        <v>158</v>
      </c>
      <c r="H86" s="7" t="e">
        <f t="shared" si="6"/>
        <v>#DIV/0!</v>
      </c>
      <c r="I86" s="173" t="s">
        <v>158</v>
      </c>
      <c r="J86" s="173" t="s">
        <v>158</v>
      </c>
      <c r="K86" s="7" t="e">
        <f t="shared" si="7"/>
        <v>#DIV/0!</v>
      </c>
      <c r="L86" s="173" t="s">
        <v>158</v>
      </c>
      <c r="M86" s="173" t="s">
        <v>158</v>
      </c>
      <c r="N86" s="7" t="e">
        <f t="shared" si="8"/>
        <v>#DIV/0!</v>
      </c>
      <c r="O86" s="48" t="s">
        <v>86</v>
      </c>
      <c r="P86" s="48" t="s">
        <v>86</v>
      </c>
      <c r="Q86" s="7">
        <f t="shared" si="5"/>
        <v>1</v>
      </c>
      <c r="R86" s="120">
        <v>1</v>
      </c>
      <c r="S86" s="12"/>
      <c r="T86" s="182"/>
    </row>
    <row r="87" spans="1:20" hidden="1" x14ac:dyDescent="0.25">
      <c r="A87" s="12">
        <v>41640</v>
      </c>
      <c r="B87" s="7">
        <v>0.9</v>
      </c>
      <c r="C87" s="175" t="s">
        <v>76</v>
      </c>
      <c r="D87" s="175" t="s">
        <v>76</v>
      </c>
      <c r="E87" s="7">
        <v>1</v>
      </c>
      <c r="F87" s="175" t="s">
        <v>158</v>
      </c>
      <c r="G87" s="175" t="s">
        <v>158</v>
      </c>
      <c r="H87" s="7" t="e">
        <f t="shared" si="6"/>
        <v>#DIV/0!</v>
      </c>
      <c r="I87" s="175" t="s">
        <v>158</v>
      </c>
      <c r="J87" s="175" t="s">
        <v>158</v>
      </c>
      <c r="K87" s="7" t="e">
        <f t="shared" si="7"/>
        <v>#DIV/0!</v>
      </c>
      <c r="L87" s="175" t="s">
        <v>158</v>
      </c>
      <c r="M87" s="175" t="s">
        <v>158</v>
      </c>
      <c r="N87" s="7" t="e">
        <f t="shared" si="8"/>
        <v>#DIV/0!</v>
      </c>
      <c r="O87" s="48" t="s">
        <v>76</v>
      </c>
      <c r="P87" s="48" t="s">
        <v>76</v>
      </c>
      <c r="Q87" s="7">
        <f t="shared" si="5"/>
        <v>1</v>
      </c>
      <c r="R87" s="120">
        <v>0</v>
      </c>
      <c r="S87" s="12"/>
      <c r="T87" s="182"/>
    </row>
    <row r="88" spans="1:20" hidden="1" x14ac:dyDescent="0.25">
      <c r="A88" s="12">
        <v>41671</v>
      </c>
      <c r="B88" s="7">
        <v>0.9</v>
      </c>
      <c r="C88" s="173" t="s">
        <v>86</v>
      </c>
      <c r="D88" s="173" t="s">
        <v>85</v>
      </c>
      <c r="E88" s="7">
        <f t="shared" ref="E88:E118" si="9">D88/C88</f>
        <v>0.5</v>
      </c>
      <c r="F88" s="173" t="s">
        <v>158</v>
      </c>
      <c r="G88" s="173" t="s">
        <v>158</v>
      </c>
      <c r="H88" s="7" t="e">
        <f t="shared" si="6"/>
        <v>#DIV/0!</v>
      </c>
      <c r="I88" s="173" t="s">
        <v>158</v>
      </c>
      <c r="J88" s="173" t="s">
        <v>158</v>
      </c>
      <c r="K88" s="7" t="e">
        <f t="shared" si="7"/>
        <v>#DIV/0!</v>
      </c>
      <c r="L88" s="173" t="s">
        <v>158</v>
      </c>
      <c r="M88" s="173" t="s">
        <v>158</v>
      </c>
      <c r="N88" s="7" t="e">
        <f t="shared" si="8"/>
        <v>#DIV/0!</v>
      </c>
      <c r="O88" s="48" t="s">
        <v>86</v>
      </c>
      <c r="P88" s="48" t="s">
        <v>85</v>
      </c>
      <c r="Q88" s="7">
        <f t="shared" si="5"/>
        <v>0.5</v>
      </c>
      <c r="R88" s="120">
        <v>1</v>
      </c>
      <c r="S88" s="12"/>
      <c r="T88" s="182"/>
    </row>
    <row r="89" spans="1:20" hidden="1" x14ac:dyDescent="0.25">
      <c r="A89" s="12">
        <v>41699</v>
      </c>
      <c r="B89" s="7">
        <v>0.9</v>
      </c>
      <c r="C89" s="178" t="s">
        <v>86</v>
      </c>
      <c r="D89" s="178" t="s">
        <v>85</v>
      </c>
      <c r="E89" s="7">
        <f t="shared" si="9"/>
        <v>0.5</v>
      </c>
      <c r="F89" s="178" t="s">
        <v>158</v>
      </c>
      <c r="G89" s="178" t="s">
        <v>158</v>
      </c>
      <c r="H89" s="7" t="e">
        <f t="shared" si="6"/>
        <v>#DIV/0!</v>
      </c>
      <c r="I89" s="178" t="s">
        <v>158</v>
      </c>
      <c r="J89" s="178" t="s">
        <v>158</v>
      </c>
      <c r="K89" s="7" t="e">
        <f t="shared" si="7"/>
        <v>#DIV/0!</v>
      </c>
      <c r="L89" s="178" t="s">
        <v>158</v>
      </c>
      <c r="M89" s="178" t="s">
        <v>158</v>
      </c>
      <c r="N89" s="7" t="e">
        <f t="shared" si="8"/>
        <v>#DIV/0!</v>
      </c>
      <c r="O89" s="48" t="s">
        <v>86</v>
      </c>
      <c r="P89" s="48" t="s">
        <v>85</v>
      </c>
      <c r="Q89" s="7">
        <f t="shared" si="5"/>
        <v>0.5</v>
      </c>
      <c r="R89" s="120">
        <v>0</v>
      </c>
      <c r="S89" s="12"/>
      <c r="T89" s="182"/>
    </row>
    <row r="90" spans="1:20" hidden="1" x14ac:dyDescent="0.25">
      <c r="A90" s="12">
        <v>41730</v>
      </c>
      <c r="B90" s="7">
        <v>0.9</v>
      </c>
      <c r="C90" s="179" t="s">
        <v>86</v>
      </c>
      <c r="D90" s="179" t="s">
        <v>86</v>
      </c>
      <c r="E90" s="7">
        <f t="shared" si="9"/>
        <v>1</v>
      </c>
      <c r="F90" s="179" t="s">
        <v>158</v>
      </c>
      <c r="G90" s="179" t="s">
        <v>158</v>
      </c>
      <c r="H90" s="7" t="e">
        <f t="shared" si="6"/>
        <v>#DIV/0!</v>
      </c>
      <c r="I90" s="179" t="s">
        <v>158</v>
      </c>
      <c r="J90" s="179" t="s">
        <v>158</v>
      </c>
      <c r="K90" s="7" t="e">
        <f t="shared" si="7"/>
        <v>#DIV/0!</v>
      </c>
      <c r="L90" s="179" t="s">
        <v>85</v>
      </c>
      <c r="M90" s="179" t="s">
        <v>85</v>
      </c>
      <c r="N90" s="7">
        <f t="shared" si="8"/>
        <v>1</v>
      </c>
      <c r="O90" s="48" t="s">
        <v>85</v>
      </c>
      <c r="P90" s="48" t="s">
        <v>85</v>
      </c>
      <c r="Q90" s="7">
        <f t="shared" si="5"/>
        <v>1</v>
      </c>
      <c r="R90" s="120">
        <v>0</v>
      </c>
      <c r="S90" s="12"/>
      <c r="T90" s="182"/>
    </row>
    <row r="91" spans="1:20" hidden="1" x14ac:dyDescent="0.25">
      <c r="A91" s="12">
        <v>41760</v>
      </c>
      <c r="B91" s="7">
        <v>0.9</v>
      </c>
      <c r="C91" s="180" t="s">
        <v>85</v>
      </c>
      <c r="D91" s="180" t="s">
        <v>85</v>
      </c>
      <c r="E91" s="7">
        <f t="shared" si="9"/>
        <v>1</v>
      </c>
      <c r="F91" s="180" t="s">
        <v>85</v>
      </c>
      <c r="G91" s="180" t="s">
        <v>85</v>
      </c>
      <c r="H91" s="7">
        <f t="shared" si="6"/>
        <v>1</v>
      </c>
      <c r="I91" s="180" t="s">
        <v>158</v>
      </c>
      <c r="J91" s="180" t="s">
        <v>158</v>
      </c>
      <c r="K91" s="7" t="e">
        <f t="shared" si="7"/>
        <v>#DIV/0!</v>
      </c>
      <c r="L91" s="180" t="s">
        <v>158</v>
      </c>
      <c r="M91" s="180" t="s">
        <v>158</v>
      </c>
      <c r="N91" s="7" t="e">
        <f t="shared" si="8"/>
        <v>#DIV/0!</v>
      </c>
      <c r="O91" s="48" t="s">
        <v>158</v>
      </c>
      <c r="P91" s="48" t="s">
        <v>158</v>
      </c>
      <c r="Q91" s="7" t="e">
        <f t="shared" si="5"/>
        <v>#DIV/0!</v>
      </c>
      <c r="R91" s="120">
        <v>0</v>
      </c>
      <c r="S91" s="12"/>
      <c r="T91" s="182"/>
    </row>
    <row r="92" spans="1:20" hidden="1" x14ac:dyDescent="0.25">
      <c r="A92" s="12">
        <v>41791</v>
      </c>
      <c r="B92" s="7">
        <v>0.9</v>
      </c>
      <c r="C92" s="181" t="s">
        <v>76</v>
      </c>
      <c r="D92" s="181" t="s">
        <v>76</v>
      </c>
      <c r="E92" s="7">
        <f t="shared" si="9"/>
        <v>1</v>
      </c>
      <c r="F92" s="181" t="s">
        <v>158</v>
      </c>
      <c r="G92" s="181" t="s">
        <v>158</v>
      </c>
      <c r="H92" s="7" t="e">
        <f t="shared" si="6"/>
        <v>#DIV/0!</v>
      </c>
      <c r="I92" s="181" t="s">
        <v>158</v>
      </c>
      <c r="J92" s="181" t="s">
        <v>158</v>
      </c>
      <c r="K92" s="7" t="e">
        <f t="shared" si="7"/>
        <v>#DIV/0!</v>
      </c>
      <c r="L92" s="181" t="s">
        <v>85</v>
      </c>
      <c r="M92" s="181" t="s">
        <v>85</v>
      </c>
      <c r="N92" s="7">
        <f t="shared" si="8"/>
        <v>1</v>
      </c>
      <c r="O92" s="48" t="s">
        <v>84</v>
      </c>
      <c r="P92" s="48" t="s">
        <v>84</v>
      </c>
      <c r="Q92" s="7">
        <f t="shared" si="5"/>
        <v>1</v>
      </c>
      <c r="R92" s="120">
        <v>1</v>
      </c>
      <c r="S92" s="12"/>
      <c r="T92" s="182"/>
    </row>
    <row r="93" spans="1:20" hidden="1" x14ac:dyDescent="0.25">
      <c r="A93" s="12">
        <v>41821</v>
      </c>
      <c r="B93" s="7">
        <v>0.9</v>
      </c>
      <c r="C93" s="182" t="s">
        <v>76</v>
      </c>
      <c r="D93" s="182" t="s">
        <v>76</v>
      </c>
      <c r="E93" s="7">
        <f t="shared" si="9"/>
        <v>1</v>
      </c>
      <c r="F93" s="182" t="s">
        <v>158</v>
      </c>
      <c r="G93" s="182" t="s">
        <v>158</v>
      </c>
      <c r="H93" s="7" t="e">
        <f t="shared" si="6"/>
        <v>#DIV/0!</v>
      </c>
      <c r="I93" s="182" t="s">
        <v>158</v>
      </c>
      <c r="J93" s="182" t="s">
        <v>158</v>
      </c>
      <c r="K93" s="7" t="e">
        <f t="shared" si="7"/>
        <v>#DIV/0!</v>
      </c>
      <c r="L93" s="182" t="s">
        <v>85</v>
      </c>
      <c r="M93" s="182" t="s">
        <v>85</v>
      </c>
      <c r="N93" s="7">
        <f t="shared" si="8"/>
        <v>1</v>
      </c>
      <c r="O93" s="48" t="s">
        <v>84</v>
      </c>
      <c r="P93" s="48" t="s">
        <v>84</v>
      </c>
      <c r="Q93" s="7">
        <f t="shared" si="5"/>
        <v>1</v>
      </c>
      <c r="R93" s="120">
        <v>0</v>
      </c>
      <c r="S93" s="12"/>
      <c r="T93" s="182"/>
    </row>
    <row r="94" spans="1:20" hidden="1" x14ac:dyDescent="0.25">
      <c r="A94" s="12">
        <v>41852</v>
      </c>
      <c r="B94" s="7">
        <v>0.9</v>
      </c>
      <c r="C94" s="173" t="s">
        <v>59</v>
      </c>
      <c r="D94" s="173" t="s">
        <v>73</v>
      </c>
      <c r="E94" s="7">
        <f t="shared" si="9"/>
        <v>0.90909090909090906</v>
      </c>
      <c r="F94" s="173" t="s">
        <v>158</v>
      </c>
      <c r="G94" s="173" t="s">
        <v>158</v>
      </c>
      <c r="H94" s="7" t="e">
        <f t="shared" si="6"/>
        <v>#DIV/0!</v>
      </c>
      <c r="I94" s="173" t="s">
        <v>85</v>
      </c>
      <c r="J94" s="173" t="s">
        <v>85</v>
      </c>
      <c r="K94" s="7">
        <f t="shared" si="7"/>
        <v>1</v>
      </c>
      <c r="L94" s="173" t="s">
        <v>158</v>
      </c>
      <c r="M94" s="173" t="s">
        <v>158</v>
      </c>
      <c r="N94" s="7" t="e">
        <f t="shared" si="8"/>
        <v>#DIV/0!</v>
      </c>
      <c r="O94" s="48" t="s">
        <v>73</v>
      </c>
      <c r="P94" s="48" t="s">
        <v>224</v>
      </c>
      <c r="Q94" s="7">
        <f t="shared" si="5"/>
        <v>0.9</v>
      </c>
      <c r="R94" s="120">
        <v>0</v>
      </c>
      <c r="S94" s="12"/>
      <c r="T94" s="182"/>
    </row>
    <row r="95" spans="1:20" s="186" customFormat="1" hidden="1" x14ac:dyDescent="0.25">
      <c r="A95" s="12">
        <v>41883</v>
      </c>
      <c r="B95" s="7">
        <v>0.9</v>
      </c>
      <c r="C95" s="182" t="s">
        <v>156</v>
      </c>
      <c r="D95" s="182" t="s">
        <v>223</v>
      </c>
      <c r="E95" s="7">
        <f t="shared" si="9"/>
        <v>0.875</v>
      </c>
      <c r="F95" s="182" t="s">
        <v>158</v>
      </c>
      <c r="G95" s="182" t="s">
        <v>158</v>
      </c>
      <c r="H95" s="7" t="e">
        <f t="shared" si="6"/>
        <v>#DIV/0!</v>
      </c>
      <c r="I95" s="182" t="s">
        <v>85</v>
      </c>
      <c r="J95" s="182" t="s">
        <v>85</v>
      </c>
      <c r="K95" s="7">
        <f t="shared" si="7"/>
        <v>1</v>
      </c>
      <c r="L95" s="182" t="s">
        <v>86</v>
      </c>
      <c r="M95" s="182" t="s">
        <v>86</v>
      </c>
      <c r="N95" s="7">
        <f t="shared" si="8"/>
        <v>1</v>
      </c>
      <c r="O95" s="48" t="s">
        <v>75</v>
      </c>
      <c r="P95" s="48" t="s">
        <v>76</v>
      </c>
      <c r="Q95" s="7">
        <f t="shared" si="5"/>
        <v>0.8</v>
      </c>
      <c r="R95" s="120">
        <v>0</v>
      </c>
      <c r="S95" s="12"/>
      <c r="T95" s="182"/>
    </row>
    <row r="96" spans="1:20" s="186" customFormat="1" hidden="1" x14ac:dyDescent="0.25">
      <c r="A96" s="12">
        <v>41913</v>
      </c>
      <c r="B96" s="7">
        <v>0.9</v>
      </c>
      <c r="C96" s="182" t="s">
        <v>158</v>
      </c>
      <c r="D96" s="182" t="s">
        <v>158</v>
      </c>
      <c r="E96" s="7" t="e">
        <f t="shared" si="9"/>
        <v>#DIV/0!</v>
      </c>
      <c r="F96" s="182" t="s">
        <v>158</v>
      </c>
      <c r="G96" s="182" t="s">
        <v>158</v>
      </c>
      <c r="H96" s="7" t="e">
        <f t="shared" si="6"/>
        <v>#DIV/0!</v>
      </c>
      <c r="I96" s="182" t="s">
        <v>158</v>
      </c>
      <c r="J96" s="182" t="s">
        <v>158</v>
      </c>
      <c r="K96" s="7" t="e">
        <f t="shared" si="7"/>
        <v>#DIV/0!</v>
      </c>
      <c r="L96" s="182" t="s">
        <v>158</v>
      </c>
      <c r="M96" s="182" t="s">
        <v>158</v>
      </c>
      <c r="N96" s="7" t="e">
        <f t="shared" si="8"/>
        <v>#DIV/0!</v>
      </c>
      <c r="O96" s="48" t="s">
        <v>158</v>
      </c>
      <c r="P96" s="48" t="s">
        <v>158</v>
      </c>
      <c r="Q96" s="7" t="e">
        <f t="shared" si="5"/>
        <v>#DIV/0!</v>
      </c>
      <c r="R96" s="120">
        <v>0</v>
      </c>
      <c r="S96" s="12"/>
      <c r="T96" s="182"/>
    </row>
    <row r="97" spans="1:20" s="186" customFormat="1" hidden="1" x14ac:dyDescent="0.25">
      <c r="A97" s="12">
        <v>41944</v>
      </c>
      <c r="B97" s="7">
        <v>0.9</v>
      </c>
      <c r="C97" s="182" t="s">
        <v>75</v>
      </c>
      <c r="D97" s="182" t="s">
        <v>75</v>
      </c>
      <c r="E97" s="7">
        <f t="shared" si="9"/>
        <v>1</v>
      </c>
      <c r="F97" s="182" t="s">
        <v>158</v>
      </c>
      <c r="G97" s="182" t="s">
        <v>158</v>
      </c>
      <c r="H97" s="7" t="e">
        <f t="shared" si="6"/>
        <v>#DIV/0!</v>
      </c>
      <c r="I97" s="182" t="s">
        <v>158</v>
      </c>
      <c r="J97" s="182" t="s">
        <v>158</v>
      </c>
      <c r="K97" s="7" t="e">
        <f t="shared" si="7"/>
        <v>#DIV/0!</v>
      </c>
      <c r="L97" s="182" t="s">
        <v>158</v>
      </c>
      <c r="M97" s="182" t="s">
        <v>158</v>
      </c>
      <c r="N97" s="7" t="e">
        <f t="shared" si="8"/>
        <v>#DIV/0!</v>
      </c>
      <c r="O97" s="48" t="s">
        <v>75</v>
      </c>
      <c r="P97" s="48" t="s">
        <v>75</v>
      </c>
      <c r="Q97" s="7">
        <f t="shared" si="5"/>
        <v>1</v>
      </c>
      <c r="R97" s="120">
        <v>0</v>
      </c>
      <c r="S97" s="12"/>
      <c r="T97" s="182"/>
    </row>
    <row r="98" spans="1:20" hidden="1" x14ac:dyDescent="0.25">
      <c r="A98" s="12">
        <v>41974</v>
      </c>
      <c r="B98" s="7">
        <v>0.9</v>
      </c>
      <c r="C98" s="104">
        <v>5</v>
      </c>
      <c r="D98" s="104">
        <v>5</v>
      </c>
      <c r="E98" s="7">
        <f t="shared" si="9"/>
        <v>1</v>
      </c>
      <c r="F98" s="104">
        <v>0</v>
      </c>
      <c r="G98" s="104">
        <v>0</v>
      </c>
      <c r="H98" s="7" t="e">
        <f t="shared" si="6"/>
        <v>#DIV/0!</v>
      </c>
      <c r="I98" s="104">
        <v>0</v>
      </c>
      <c r="J98" s="104">
        <v>0</v>
      </c>
      <c r="K98" s="7" t="e">
        <f t="shared" si="7"/>
        <v>#DIV/0!</v>
      </c>
      <c r="L98" s="104">
        <v>0</v>
      </c>
      <c r="M98" s="104">
        <v>0</v>
      </c>
      <c r="N98" s="7" t="e">
        <f t="shared" si="8"/>
        <v>#DIV/0!</v>
      </c>
      <c r="O98" s="53">
        <v>5</v>
      </c>
      <c r="P98" s="53">
        <v>5</v>
      </c>
      <c r="Q98" s="7">
        <f t="shared" si="5"/>
        <v>1</v>
      </c>
      <c r="R98" s="120">
        <v>0</v>
      </c>
      <c r="S98" s="12"/>
      <c r="T98" s="104"/>
    </row>
    <row r="99" spans="1:20" s="186" customFormat="1" hidden="1" x14ac:dyDescent="0.25">
      <c r="A99" s="12">
        <v>42005</v>
      </c>
      <c r="B99" s="7">
        <v>0.9</v>
      </c>
      <c r="C99" s="104">
        <v>8</v>
      </c>
      <c r="D99" s="104">
        <v>6</v>
      </c>
      <c r="E99" s="7">
        <f t="shared" si="9"/>
        <v>0.75</v>
      </c>
      <c r="F99" s="104">
        <v>0</v>
      </c>
      <c r="G99" s="104">
        <v>0</v>
      </c>
      <c r="H99" s="7" t="e">
        <f t="shared" si="6"/>
        <v>#DIV/0!</v>
      </c>
      <c r="I99" s="104">
        <v>0</v>
      </c>
      <c r="J99" s="104">
        <v>0</v>
      </c>
      <c r="K99" s="7" t="e">
        <f t="shared" si="7"/>
        <v>#DIV/0!</v>
      </c>
      <c r="L99" s="104">
        <v>1</v>
      </c>
      <c r="M99" s="104">
        <v>1</v>
      </c>
      <c r="N99" s="7">
        <f t="shared" si="8"/>
        <v>1</v>
      </c>
      <c r="O99" s="53">
        <v>7</v>
      </c>
      <c r="P99" s="53">
        <v>5</v>
      </c>
      <c r="Q99" s="7">
        <f t="shared" si="5"/>
        <v>0.7142857142857143</v>
      </c>
      <c r="R99" s="120">
        <v>0</v>
      </c>
      <c r="S99" s="12"/>
      <c r="T99" s="104"/>
    </row>
    <row r="100" spans="1:20" s="186" customFormat="1" hidden="1" x14ac:dyDescent="0.25">
      <c r="A100" s="12">
        <v>42036</v>
      </c>
      <c r="B100" s="7">
        <v>0.9</v>
      </c>
      <c r="C100" s="104">
        <v>11</v>
      </c>
      <c r="D100" s="104">
        <v>9</v>
      </c>
      <c r="E100" s="7">
        <f t="shared" si="9"/>
        <v>0.81818181818181823</v>
      </c>
      <c r="F100" s="104">
        <v>0</v>
      </c>
      <c r="G100" s="104">
        <v>0</v>
      </c>
      <c r="H100" s="7" t="e">
        <f t="shared" ref="H100:H118" si="10">G100/F100</f>
        <v>#DIV/0!</v>
      </c>
      <c r="I100" s="104">
        <v>1</v>
      </c>
      <c r="J100" s="104">
        <v>1</v>
      </c>
      <c r="K100" s="7">
        <f t="shared" ref="K100:K118" si="11">J100/I100</f>
        <v>1</v>
      </c>
      <c r="L100" s="104">
        <v>1</v>
      </c>
      <c r="M100" s="104">
        <v>1</v>
      </c>
      <c r="N100" s="7">
        <f t="shared" ref="N100:N118" si="12">M100/L100</f>
        <v>1</v>
      </c>
      <c r="O100" s="53">
        <v>15</v>
      </c>
      <c r="P100" s="53">
        <v>13</v>
      </c>
      <c r="Q100" s="7">
        <f t="shared" ref="Q100:Q118" si="13">P100/O100</f>
        <v>0.8666666666666667</v>
      </c>
      <c r="R100" s="120">
        <v>0</v>
      </c>
      <c r="S100" s="12"/>
      <c r="T100" s="104"/>
    </row>
    <row r="101" spans="1:20" s="186" customFormat="1" hidden="1" x14ac:dyDescent="0.25">
      <c r="A101" s="12">
        <v>42064</v>
      </c>
      <c r="B101" s="7">
        <v>0.9</v>
      </c>
      <c r="C101" s="104">
        <v>10</v>
      </c>
      <c r="D101" s="104">
        <v>8</v>
      </c>
      <c r="E101" s="7">
        <f t="shared" si="9"/>
        <v>0.8</v>
      </c>
      <c r="F101" s="104">
        <v>1</v>
      </c>
      <c r="G101" s="104">
        <v>0</v>
      </c>
      <c r="H101" s="7">
        <f t="shared" si="10"/>
        <v>0</v>
      </c>
      <c r="I101" s="104">
        <v>0</v>
      </c>
      <c r="J101" s="104">
        <v>0</v>
      </c>
      <c r="K101" s="7" t="e">
        <f t="shared" si="11"/>
        <v>#DIV/0!</v>
      </c>
      <c r="L101" s="104">
        <v>1</v>
      </c>
      <c r="M101" s="104">
        <v>1</v>
      </c>
      <c r="N101" s="7">
        <f t="shared" si="12"/>
        <v>1</v>
      </c>
      <c r="O101" s="53">
        <v>8</v>
      </c>
      <c r="P101" s="53">
        <v>7</v>
      </c>
      <c r="Q101" s="7">
        <f t="shared" si="13"/>
        <v>0.875</v>
      </c>
      <c r="R101" s="120">
        <v>0</v>
      </c>
      <c r="S101" s="12"/>
      <c r="T101" s="104"/>
    </row>
    <row r="102" spans="1:20" s="186" customFormat="1" hidden="1" x14ac:dyDescent="0.25">
      <c r="A102" s="12">
        <v>42095</v>
      </c>
      <c r="B102" s="7">
        <v>0.9</v>
      </c>
      <c r="C102" s="104">
        <v>20</v>
      </c>
      <c r="D102" s="104">
        <v>13</v>
      </c>
      <c r="E102" s="7">
        <f t="shared" si="9"/>
        <v>0.65</v>
      </c>
      <c r="F102" s="104">
        <v>1</v>
      </c>
      <c r="G102" s="104">
        <v>0</v>
      </c>
      <c r="H102" s="7">
        <f t="shared" si="10"/>
        <v>0</v>
      </c>
      <c r="I102" s="104">
        <v>0</v>
      </c>
      <c r="J102" s="104">
        <v>0</v>
      </c>
      <c r="K102" s="7" t="e">
        <f t="shared" si="11"/>
        <v>#DIV/0!</v>
      </c>
      <c r="L102" s="104">
        <v>4</v>
      </c>
      <c r="M102" s="104">
        <v>1</v>
      </c>
      <c r="N102" s="7">
        <f t="shared" si="12"/>
        <v>0.25</v>
      </c>
      <c r="O102" s="53">
        <v>15</v>
      </c>
      <c r="P102" s="53">
        <v>12</v>
      </c>
      <c r="Q102" s="7">
        <f t="shared" si="13"/>
        <v>0.8</v>
      </c>
      <c r="R102" s="120">
        <v>0</v>
      </c>
      <c r="S102" s="12"/>
      <c r="T102" s="104"/>
    </row>
    <row r="103" spans="1:20" s="186" customFormat="1" hidden="1" x14ac:dyDescent="0.25">
      <c r="A103" s="12">
        <v>42125</v>
      </c>
      <c r="B103" s="7">
        <v>0.9</v>
      </c>
      <c r="C103" s="104">
        <v>6</v>
      </c>
      <c r="D103" s="104">
        <v>6</v>
      </c>
      <c r="E103" s="7">
        <f t="shared" si="9"/>
        <v>1</v>
      </c>
      <c r="F103" s="104">
        <v>0</v>
      </c>
      <c r="G103" s="104">
        <v>0</v>
      </c>
      <c r="H103" s="7" t="e">
        <f t="shared" si="10"/>
        <v>#DIV/0!</v>
      </c>
      <c r="I103" s="104">
        <v>0</v>
      </c>
      <c r="J103" s="104">
        <v>0</v>
      </c>
      <c r="K103" s="7" t="e">
        <f t="shared" si="11"/>
        <v>#DIV/0!</v>
      </c>
      <c r="L103" s="104">
        <v>1</v>
      </c>
      <c r="M103" s="104">
        <v>1</v>
      </c>
      <c r="N103" s="7">
        <f t="shared" si="12"/>
        <v>1</v>
      </c>
      <c r="O103" s="53">
        <v>5</v>
      </c>
      <c r="P103" s="53">
        <v>5</v>
      </c>
      <c r="Q103" s="7">
        <f t="shared" si="13"/>
        <v>1</v>
      </c>
      <c r="R103" s="120">
        <v>0</v>
      </c>
      <c r="S103" s="12"/>
      <c r="T103" s="104"/>
    </row>
    <row r="104" spans="1:20" s="186" customFormat="1" hidden="1" x14ac:dyDescent="0.25">
      <c r="A104" s="12">
        <v>42156</v>
      </c>
      <c r="B104" s="7">
        <v>0.9</v>
      </c>
      <c r="C104" s="104">
        <v>4</v>
      </c>
      <c r="D104" s="104">
        <v>3</v>
      </c>
      <c r="E104" s="7">
        <f t="shared" si="9"/>
        <v>0.75</v>
      </c>
      <c r="F104" s="104">
        <v>0</v>
      </c>
      <c r="G104" s="104">
        <v>0</v>
      </c>
      <c r="H104" s="7" t="e">
        <f t="shared" si="10"/>
        <v>#DIV/0!</v>
      </c>
      <c r="I104" s="104">
        <v>0</v>
      </c>
      <c r="J104" s="104">
        <v>0</v>
      </c>
      <c r="K104" s="7" t="e">
        <f t="shared" si="11"/>
        <v>#DIV/0!</v>
      </c>
      <c r="L104" s="104">
        <v>0</v>
      </c>
      <c r="M104" s="104">
        <v>0</v>
      </c>
      <c r="N104" s="7" t="e">
        <f t="shared" si="12"/>
        <v>#DIV/0!</v>
      </c>
      <c r="O104" s="53">
        <v>4</v>
      </c>
      <c r="P104" s="53">
        <v>3</v>
      </c>
      <c r="Q104" s="7">
        <f t="shared" si="13"/>
        <v>0.75</v>
      </c>
      <c r="R104" s="120">
        <v>0</v>
      </c>
      <c r="S104" s="12"/>
      <c r="T104" s="104"/>
    </row>
    <row r="105" spans="1:20" s="186" customFormat="1" hidden="1" x14ac:dyDescent="0.25">
      <c r="A105" s="12">
        <v>42200</v>
      </c>
      <c r="B105" s="7">
        <v>0.9</v>
      </c>
      <c r="C105" s="104">
        <v>8</v>
      </c>
      <c r="D105" s="104">
        <v>3</v>
      </c>
      <c r="E105" s="7">
        <f t="shared" si="9"/>
        <v>0.375</v>
      </c>
      <c r="F105" s="104">
        <v>0</v>
      </c>
      <c r="G105" s="104">
        <v>0</v>
      </c>
      <c r="H105" s="7" t="e">
        <f t="shared" si="10"/>
        <v>#DIV/0!</v>
      </c>
      <c r="I105" s="104">
        <v>1</v>
      </c>
      <c r="J105" s="104">
        <v>0</v>
      </c>
      <c r="K105" s="7">
        <f t="shared" si="11"/>
        <v>0</v>
      </c>
      <c r="L105" s="104">
        <v>0</v>
      </c>
      <c r="M105" s="104">
        <v>0</v>
      </c>
      <c r="N105" s="7" t="e">
        <f t="shared" si="12"/>
        <v>#DIV/0!</v>
      </c>
      <c r="O105" s="53">
        <v>7</v>
      </c>
      <c r="P105" s="53">
        <v>3</v>
      </c>
      <c r="Q105" s="7">
        <f t="shared" si="13"/>
        <v>0.42857142857142855</v>
      </c>
      <c r="R105" s="120">
        <v>0</v>
      </c>
      <c r="S105" s="12"/>
      <c r="T105" s="104"/>
    </row>
    <row r="106" spans="1:20" s="186" customFormat="1" x14ac:dyDescent="0.25">
      <c r="A106" s="12">
        <v>42231</v>
      </c>
      <c r="B106" s="7">
        <v>0.9</v>
      </c>
      <c r="C106" s="104">
        <v>12</v>
      </c>
      <c r="D106" s="104">
        <v>11</v>
      </c>
      <c r="E106" s="7">
        <f t="shared" si="9"/>
        <v>0.91666666666666663</v>
      </c>
      <c r="F106" s="104">
        <v>0</v>
      </c>
      <c r="G106" s="104">
        <v>0</v>
      </c>
      <c r="H106" s="7" t="e">
        <f t="shared" si="10"/>
        <v>#DIV/0!</v>
      </c>
      <c r="I106" s="104">
        <v>0</v>
      </c>
      <c r="J106" s="104">
        <v>0</v>
      </c>
      <c r="K106" s="7" t="e">
        <f t="shared" si="11"/>
        <v>#DIV/0!</v>
      </c>
      <c r="L106" s="104">
        <v>1</v>
      </c>
      <c r="M106" s="104">
        <v>1</v>
      </c>
      <c r="N106" s="7">
        <f t="shared" si="12"/>
        <v>1</v>
      </c>
      <c r="O106" s="53">
        <v>5</v>
      </c>
      <c r="P106" s="53">
        <v>4</v>
      </c>
      <c r="Q106" s="7">
        <f t="shared" si="13"/>
        <v>0.8</v>
      </c>
      <c r="R106" s="120">
        <v>0</v>
      </c>
      <c r="S106" s="12"/>
      <c r="T106" s="104"/>
    </row>
    <row r="107" spans="1:20" s="186" customFormat="1" x14ac:dyDescent="0.25">
      <c r="A107" s="12">
        <v>42262</v>
      </c>
      <c r="B107" s="7">
        <v>0.9</v>
      </c>
      <c r="C107" s="104">
        <v>15</v>
      </c>
      <c r="D107" s="104">
        <v>15</v>
      </c>
      <c r="E107" s="7">
        <f t="shared" si="9"/>
        <v>1</v>
      </c>
      <c r="F107" s="104">
        <v>0</v>
      </c>
      <c r="G107" s="104">
        <v>0</v>
      </c>
      <c r="H107" s="7" t="e">
        <f t="shared" si="10"/>
        <v>#DIV/0!</v>
      </c>
      <c r="I107" s="104">
        <v>0</v>
      </c>
      <c r="J107" s="104">
        <v>0</v>
      </c>
      <c r="K107" s="7" t="e">
        <f t="shared" si="11"/>
        <v>#DIV/0!</v>
      </c>
      <c r="L107" s="104">
        <v>1</v>
      </c>
      <c r="M107" s="104">
        <v>1</v>
      </c>
      <c r="N107" s="7">
        <f t="shared" si="12"/>
        <v>1</v>
      </c>
      <c r="O107" s="53">
        <v>14</v>
      </c>
      <c r="P107" s="53">
        <v>14</v>
      </c>
      <c r="Q107" s="7">
        <f t="shared" si="13"/>
        <v>1</v>
      </c>
      <c r="R107" s="120">
        <v>0</v>
      </c>
      <c r="S107" s="12"/>
      <c r="T107" s="104"/>
    </row>
    <row r="108" spans="1:20" s="186" customFormat="1" x14ac:dyDescent="0.25">
      <c r="A108" s="12">
        <v>42292</v>
      </c>
      <c r="B108" s="7">
        <v>0.9</v>
      </c>
      <c r="C108" s="104">
        <v>10</v>
      </c>
      <c r="D108" s="104">
        <v>9</v>
      </c>
      <c r="E108" s="7">
        <f t="shared" si="9"/>
        <v>0.9</v>
      </c>
      <c r="F108" s="104">
        <v>0</v>
      </c>
      <c r="G108" s="104">
        <v>0</v>
      </c>
      <c r="H108" s="7" t="e">
        <f t="shared" si="10"/>
        <v>#DIV/0!</v>
      </c>
      <c r="I108" s="104">
        <v>1</v>
      </c>
      <c r="J108" s="104">
        <v>1</v>
      </c>
      <c r="K108" s="7">
        <f t="shared" si="11"/>
        <v>1</v>
      </c>
      <c r="L108" s="104">
        <v>0</v>
      </c>
      <c r="M108" s="104">
        <v>0</v>
      </c>
      <c r="N108" s="7" t="e">
        <f t="shared" si="12"/>
        <v>#DIV/0!</v>
      </c>
      <c r="O108" s="53">
        <v>9</v>
      </c>
      <c r="P108" s="53">
        <v>8</v>
      </c>
      <c r="Q108" s="7">
        <f t="shared" si="13"/>
        <v>0.88888888888888884</v>
      </c>
      <c r="R108" s="120">
        <v>0</v>
      </c>
      <c r="S108" s="12"/>
      <c r="T108" s="104"/>
    </row>
    <row r="109" spans="1:20" s="186" customFormat="1" x14ac:dyDescent="0.25">
      <c r="A109" s="12">
        <v>42309</v>
      </c>
      <c r="B109" s="7">
        <v>0.9</v>
      </c>
      <c r="C109" s="104">
        <v>1</v>
      </c>
      <c r="D109" s="104">
        <v>1</v>
      </c>
      <c r="E109" s="7">
        <f t="shared" si="9"/>
        <v>1</v>
      </c>
      <c r="F109" s="104">
        <v>0</v>
      </c>
      <c r="G109" s="104">
        <v>0</v>
      </c>
      <c r="H109" s="7" t="e">
        <f t="shared" si="10"/>
        <v>#DIV/0!</v>
      </c>
      <c r="I109" s="104">
        <v>0</v>
      </c>
      <c r="J109" s="104">
        <v>0</v>
      </c>
      <c r="K109" s="7" t="e">
        <f t="shared" si="11"/>
        <v>#DIV/0!</v>
      </c>
      <c r="L109" s="104">
        <v>0</v>
      </c>
      <c r="M109" s="104">
        <v>0</v>
      </c>
      <c r="N109" s="7" t="e">
        <f t="shared" si="12"/>
        <v>#DIV/0!</v>
      </c>
      <c r="O109" s="53">
        <v>1</v>
      </c>
      <c r="P109" s="53">
        <v>1</v>
      </c>
      <c r="Q109" s="7">
        <f t="shared" si="13"/>
        <v>1</v>
      </c>
      <c r="R109" s="120">
        <v>0</v>
      </c>
      <c r="S109" s="12"/>
      <c r="T109" s="104"/>
    </row>
    <row r="110" spans="1:20" s="186" customFormat="1" x14ac:dyDescent="0.25">
      <c r="A110" s="12">
        <v>42339</v>
      </c>
      <c r="B110" s="7">
        <v>0.9</v>
      </c>
      <c r="C110" s="104">
        <v>0</v>
      </c>
      <c r="D110" s="104">
        <v>0</v>
      </c>
      <c r="E110" s="7" t="e">
        <f t="shared" si="9"/>
        <v>#DIV/0!</v>
      </c>
      <c r="F110" s="104">
        <v>0</v>
      </c>
      <c r="G110" s="104">
        <v>0</v>
      </c>
      <c r="H110" s="7" t="e">
        <f t="shared" si="10"/>
        <v>#DIV/0!</v>
      </c>
      <c r="I110" s="104">
        <v>0</v>
      </c>
      <c r="J110" s="104">
        <v>0</v>
      </c>
      <c r="K110" s="7" t="e">
        <f t="shared" si="11"/>
        <v>#DIV/0!</v>
      </c>
      <c r="L110" s="104">
        <v>0</v>
      </c>
      <c r="M110" s="104">
        <v>0</v>
      </c>
      <c r="N110" s="7" t="e">
        <f t="shared" si="12"/>
        <v>#DIV/0!</v>
      </c>
      <c r="O110" s="53">
        <v>0</v>
      </c>
      <c r="P110" s="53">
        <v>0</v>
      </c>
      <c r="Q110" s="7" t="e">
        <f t="shared" si="13"/>
        <v>#DIV/0!</v>
      </c>
      <c r="R110" s="120">
        <v>0</v>
      </c>
      <c r="S110" s="12"/>
      <c r="T110" s="104"/>
    </row>
    <row r="111" spans="1:20" s="186" customFormat="1" x14ac:dyDescent="0.25">
      <c r="A111" s="12">
        <v>42370</v>
      </c>
      <c r="B111" s="7">
        <v>0.9</v>
      </c>
      <c r="C111" s="104">
        <v>1</v>
      </c>
      <c r="D111" s="104">
        <v>1</v>
      </c>
      <c r="E111" s="7">
        <f t="shared" si="9"/>
        <v>1</v>
      </c>
      <c r="F111" s="104">
        <v>0</v>
      </c>
      <c r="G111" s="104">
        <v>0</v>
      </c>
      <c r="H111" s="7" t="e">
        <f t="shared" si="10"/>
        <v>#DIV/0!</v>
      </c>
      <c r="I111" s="104">
        <v>0</v>
      </c>
      <c r="J111" s="104">
        <v>0</v>
      </c>
      <c r="K111" s="7" t="e">
        <f t="shared" si="11"/>
        <v>#DIV/0!</v>
      </c>
      <c r="L111" s="104">
        <v>0</v>
      </c>
      <c r="M111" s="104">
        <v>0</v>
      </c>
      <c r="N111" s="7" t="e">
        <f t="shared" si="12"/>
        <v>#DIV/0!</v>
      </c>
      <c r="O111" s="53">
        <v>1</v>
      </c>
      <c r="P111" s="53">
        <v>1</v>
      </c>
      <c r="Q111" s="7">
        <f t="shared" si="13"/>
        <v>1</v>
      </c>
      <c r="R111" s="120">
        <v>0</v>
      </c>
      <c r="S111" s="12"/>
      <c r="T111" s="104"/>
    </row>
    <row r="112" spans="1:20" s="186" customFormat="1" x14ac:dyDescent="0.25">
      <c r="A112" s="12">
        <v>42401</v>
      </c>
      <c r="B112" s="7">
        <v>0.9</v>
      </c>
      <c r="C112" s="104">
        <v>1</v>
      </c>
      <c r="D112" s="104">
        <v>1</v>
      </c>
      <c r="E112" s="7">
        <f t="shared" si="9"/>
        <v>1</v>
      </c>
      <c r="F112" s="104">
        <v>0</v>
      </c>
      <c r="G112" s="104">
        <v>0</v>
      </c>
      <c r="H112" s="7" t="e">
        <f t="shared" si="10"/>
        <v>#DIV/0!</v>
      </c>
      <c r="I112" s="104">
        <v>0</v>
      </c>
      <c r="J112" s="104">
        <v>0</v>
      </c>
      <c r="K112" s="7" t="e">
        <f t="shared" si="11"/>
        <v>#DIV/0!</v>
      </c>
      <c r="L112" s="104">
        <v>0</v>
      </c>
      <c r="M112" s="104">
        <v>0</v>
      </c>
      <c r="N112" s="7" t="e">
        <f t="shared" si="12"/>
        <v>#DIV/0!</v>
      </c>
      <c r="O112" s="53">
        <v>1</v>
      </c>
      <c r="P112" s="53">
        <v>1</v>
      </c>
      <c r="Q112" s="7">
        <f t="shared" si="13"/>
        <v>1</v>
      </c>
      <c r="R112" s="120">
        <v>0</v>
      </c>
      <c r="S112" s="12"/>
      <c r="T112" s="104"/>
    </row>
    <row r="113" spans="1:20" s="186" customFormat="1" x14ac:dyDescent="0.25">
      <c r="A113" s="12">
        <v>42430</v>
      </c>
      <c r="B113" s="7">
        <v>0.9</v>
      </c>
      <c r="C113" s="104">
        <v>0</v>
      </c>
      <c r="D113" s="104">
        <v>0</v>
      </c>
      <c r="E113" s="7" t="e">
        <f t="shared" si="9"/>
        <v>#DIV/0!</v>
      </c>
      <c r="F113" s="104">
        <v>0</v>
      </c>
      <c r="G113" s="104">
        <v>0</v>
      </c>
      <c r="H113" s="7" t="e">
        <f t="shared" si="10"/>
        <v>#DIV/0!</v>
      </c>
      <c r="I113" s="104">
        <v>0</v>
      </c>
      <c r="J113" s="104">
        <v>0</v>
      </c>
      <c r="K113" s="7" t="e">
        <f t="shared" si="11"/>
        <v>#DIV/0!</v>
      </c>
      <c r="L113" s="104">
        <v>0</v>
      </c>
      <c r="M113" s="104">
        <v>0</v>
      </c>
      <c r="N113" s="7" t="e">
        <f t="shared" si="12"/>
        <v>#DIV/0!</v>
      </c>
      <c r="O113" s="53">
        <v>0</v>
      </c>
      <c r="P113" s="53">
        <v>0</v>
      </c>
      <c r="Q113" s="7" t="e">
        <f t="shared" si="13"/>
        <v>#DIV/0!</v>
      </c>
      <c r="R113" s="120">
        <v>0</v>
      </c>
      <c r="S113" s="12"/>
      <c r="T113" s="104"/>
    </row>
    <row r="114" spans="1:20" s="186" customFormat="1" x14ac:dyDescent="0.25">
      <c r="A114" s="12">
        <v>42461</v>
      </c>
      <c r="B114" s="7">
        <v>0.9</v>
      </c>
      <c r="C114" s="104">
        <v>0</v>
      </c>
      <c r="D114" s="104">
        <v>0</v>
      </c>
      <c r="E114" s="7" t="e">
        <f t="shared" si="9"/>
        <v>#DIV/0!</v>
      </c>
      <c r="F114" s="104">
        <v>0</v>
      </c>
      <c r="G114" s="104">
        <v>0</v>
      </c>
      <c r="H114" s="7" t="e">
        <f t="shared" si="10"/>
        <v>#DIV/0!</v>
      </c>
      <c r="I114" s="104">
        <v>0</v>
      </c>
      <c r="J114" s="104">
        <v>0</v>
      </c>
      <c r="K114" s="7" t="e">
        <f t="shared" si="11"/>
        <v>#DIV/0!</v>
      </c>
      <c r="L114" s="104">
        <v>0</v>
      </c>
      <c r="M114" s="104">
        <v>0</v>
      </c>
      <c r="N114" s="7" t="e">
        <f t="shared" si="12"/>
        <v>#DIV/0!</v>
      </c>
      <c r="O114" s="53">
        <v>0</v>
      </c>
      <c r="P114" s="53">
        <v>0</v>
      </c>
      <c r="Q114" s="7" t="e">
        <f t="shared" si="13"/>
        <v>#DIV/0!</v>
      </c>
      <c r="R114" s="120">
        <v>0</v>
      </c>
      <c r="S114" s="12"/>
      <c r="T114" s="104"/>
    </row>
    <row r="115" spans="1:20" s="186" customFormat="1" x14ac:dyDescent="0.25">
      <c r="A115" s="12">
        <v>42491</v>
      </c>
      <c r="B115" s="7">
        <v>0.9</v>
      </c>
      <c r="C115" s="104">
        <v>1</v>
      </c>
      <c r="D115" s="104">
        <v>1</v>
      </c>
      <c r="E115" s="7">
        <f t="shared" si="9"/>
        <v>1</v>
      </c>
      <c r="F115" s="104">
        <v>0</v>
      </c>
      <c r="G115" s="104">
        <v>0</v>
      </c>
      <c r="H115" s="7" t="e">
        <f t="shared" si="10"/>
        <v>#DIV/0!</v>
      </c>
      <c r="I115" s="104">
        <v>0</v>
      </c>
      <c r="J115" s="104">
        <v>0</v>
      </c>
      <c r="K115" s="7" t="e">
        <f t="shared" si="11"/>
        <v>#DIV/0!</v>
      </c>
      <c r="L115" s="104">
        <v>0</v>
      </c>
      <c r="M115" s="104">
        <v>0</v>
      </c>
      <c r="N115" s="7" t="e">
        <f t="shared" si="12"/>
        <v>#DIV/0!</v>
      </c>
      <c r="O115" s="53">
        <v>1</v>
      </c>
      <c r="P115" s="53">
        <v>1</v>
      </c>
      <c r="Q115" s="7">
        <f t="shared" si="13"/>
        <v>1</v>
      </c>
      <c r="R115" s="120">
        <v>0</v>
      </c>
      <c r="S115" s="12"/>
      <c r="T115" s="104"/>
    </row>
    <row r="116" spans="1:20" s="186" customFormat="1" x14ac:dyDescent="0.25">
      <c r="A116" s="12">
        <v>42522</v>
      </c>
      <c r="B116" s="7">
        <v>0.9</v>
      </c>
      <c r="C116" s="104">
        <v>1</v>
      </c>
      <c r="D116" s="104">
        <v>1</v>
      </c>
      <c r="E116" s="7">
        <f t="shared" si="9"/>
        <v>1</v>
      </c>
      <c r="F116" s="104">
        <v>0</v>
      </c>
      <c r="G116" s="104">
        <v>0</v>
      </c>
      <c r="H116" s="7" t="e">
        <f t="shared" si="10"/>
        <v>#DIV/0!</v>
      </c>
      <c r="I116" s="104">
        <v>0</v>
      </c>
      <c r="J116" s="104">
        <v>0</v>
      </c>
      <c r="K116" s="7" t="e">
        <f t="shared" si="11"/>
        <v>#DIV/0!</v>
      </c>
      <c r="L116" s="104">
        <v>0</v>
      </c>
      <c r="M116" s="104">
        <v>0</v>
      </c>
      <c r="N116" s="7" t="e">
        <f t="shared" si="12"/>
        <v>#DIV/0!</v>
      </c>
      <c r="O116" s="53">
        <v>1</v>
      </c>
      <c r="P116" s="53">
        <v>1</v>
      </c>
      <c r="Q116" s="7">
        <f t="shared" si="13"/>
        <v>1</v>
      </c>
      <c r="R116" s="120">
        <v>0</v>
      </c>
      <c r="S116" s="12"/>
      <c r="T116" s="104"/>
    </row>
    <row r="117" spans="1:20" s="186" customFormat="1" x14ac:dyDescent="0.25">
      <c r="A117" s="12">
        <v>42552</v>
      </c>
      <c r="B117" s="7">
        <v>0.9</v>
      </c>
      <c r="C117" s="104">
        <v>0</v>
      </c>
      <c r="D117" s="104">
        <v>0</v>
      </c>
      <c r="E117" s="7" t="e">
        <f t="shared" si="9"/>
        <v>#DIV/0!</v>
      </c>
      <c r="F117" s="104">
        <v>0</v>
      </c>
      <c r="G117" s="104">
        <v>0</v>
      </c>
      <c r="H117" s="7" t="e">
        <f t="shared" si="10"/>
        <v>#DIV/0!</v>
      </c>
      <c r="I117" s="104">
        <v>0</v>
      </c>
      <c r="J117" s="104">
        <v>0</v>
      </c>
      <c r="K117" s="7" t="e">
        <f t="shared" si="11"/>
        <v>#DIV/0!</v>
      </c>
      <c r="L117" s="104">
        <v>0</v>
      </c>
      <c r="M117" s="104">
        <v>0</v>
      </c>
      <c r="N117" s="7" t="e">
        <f t="shared" si="12"/>
        <v>#DIV/0!</v>
      </c>
      <c r="O117" s="53">
        <v>0</v>
      </c>
      <c r="P117" s="53">
        <v>0</v>
      </c>
      <c r="Q117" s="7" t="e">
        <f t="shared" si="13"/>
        <v>#DIV/0!</v>
      </c>
      <c r="R117" s="120">
        <v>0</v>
      </c>
      <c r="S117" s="12"/>
      <c r="T117" s="104"/>
    </row>
    <row r="118" spans="1:20" s="186" customFormat="1" x14ac:dyDescent="0.25">
      <c r="A118" s="12">
        <v>42583</v>
      </c>
      <c r="B118" s="7">
        <v>0.9</v>
      </c>
      <c r="C118" s="104">
        <v>0</v>
      </c>
      <c r="D118" s="104">
        <v>0</v>
      </c>
      <c r="E118" s="7" t="e">
        <f t="shared" si="9"/>
        <v>#DIV/0!</v>
      </c>
      <c r="F118" s="104">
        <v>0</v>
      </c>
      <c r="G118" s="104">
        <v>0</v>
      </c>
      <c r="H118" s="7" t="e">
        <f t="shared" si="10"/>
        <v>#DIV/0!</v>
      </c>
      <c r="I118" s="104">
        <v>0</v>
      </c>
      <c r="J118" s="104">
        <v>0</v>
      </c>
      <c r="K118" s="7" t="e">
        <f t="shared" si="11"/>
        <v>#DIV/0!</v>
      </c>
      <c r="L118" s="104">
        <v>0</v>
      </c>
      <c r="M118" s="104">
        <v>0</v>
      </c>
      <c r="N118" s="7" t="e">
        <f t="shared" si="12"/>
        <v>#DIV/0!</v>
      </c>
      <c r="O118" s="53">
        <v>0</v>
      </c>
      <c r="P118" s="53">
        <v>0</v>
      </c>
      <c r="Q118" s="7" t="e">
        <f t="shared" si="13"/>
        <v>#DIV/0!</v>
      </c>
      <c r="R118" s="120">
        <v>0</v>
      </c>
      <c r="S118" s="12"/>
      <c r="T118" s="104"/>
    </row>
    <row r="119" spans="1:20" x14ac:dyDescent="0.25">
      <c r="A119" s="2"/>
      <c r="B119" s="2"/>
      <c r="C119" s="10"/>
      <c r="D119" s="44"/>
      <c r="E119" s="182"/>
      <c r="F119" s="44"/>
      <c r="G119" s="10"/>
      <c r="H119" s="44"/>
      <c r="I119" s="44"/>
      <c r="J119" s="10"/>
      <c r="K119" s="44"/>
      <c r="L119" s="44"/>
      <c r="M119" s="10"/>
      <c r="N119" s="44"/>
      <c r="O119" s="44"/>
      <c r="P119" s="10"/>
      <c r="Q119" s="45"/>
      <c r="R119" s="45"/>
      <c r="S119" s="10"/>
    </row>
    <row r="120" spans="1:20" x14ac:dyDescent="0.25">
      <c r="A120" s="2"/>
      <c r="B120" s="2"/>
      <c r="C120" s="10"/>
      <c r="D120" s="44"/>
      <c r="E120" s="182"/>
      <c r="F120" s="44"/>
      <c r="G120" s="10"/>
      <c r="H120" s="44"/>
      <c r="I120" s="44"/>
      <c r="J120" s="10"/>
      <c r="K120" s="44"/>
      <c r="L120" s="44"/>
      <c r="M120" s="10"/>
      <c r="N120" s="44"/>
      <c r="O120" s="44"/>
      <c r="P120" s="10"/>
      <c r="Q120" s="45"/>
      <c r="R120" s="45"/>
      <c r="S120" s="10"/>
    </row>
    <row r="121" spans="1:20" x14ac:dyDescent="0.25">
      <c r="A121" s="2"/>
      <c r="B121" s="2"/>
      <c r="C121" s="10"/>
      <c r="D121" s="44"/>
      <c r="E121" s="182"/>
      <c r="F121" s="44"/>
      <c r="G121" s="10"/>
      <c r="H121" s="44"/>
      <c r="I121" s="44"/>
      <c r="J121" s="10"/>
      <c r="K121" s="44"/>
      <c r="L121" s="44"/>
      <c r="M121" s="10"/>
      <c r="N121" s="44"/>
      <c r="O121" s="44"/>
      <c r="P121" s="10"/>
      <c r="Q121" s="45"/>
      <c r="R121" s="45"/>
      <c r="S121" s="10"/>
    </row>
    <row r="122" spans="1:20" x14ac:dyDescent="0.25">
      <c r="A122" s="2"/>
      <c r="B122" s="2"/>
      <c r="C122" s="10"/>
      <c r="D122" s="44"/>
      <c r="E122" s="182"/>
      <c r="F122" s="44"/>
      <c r="G122" s="10"/>
      <c r="H122" s="44"/>
      <c r="I122" s="44"/>
      <c r="J122" s="10"/>
      <c r="K122" s="44"/>
      <c r="L122" s="44"/>
      <c r="M122" s="10"/>
      <c r="N122" s="44"/>
      <c r="O122" s="44"/>
      <c r="P122" s="10"/>
      <c r="Q122" s="45"/>
      <c r="R122" s="45"/>
      <c r="S122" s="10"/>
    </row>
    <row r="128" spans="1:20" x14ac:dyDescent="0.25">
      <c r="D128" s="37"/>
      <c r="G128" s="37"/>
      <c r="H128" s="37"/>
    </row>
    <row r="129" spans="1:13" x14ac:dyDescent="0.25">
      <c r="D129" s="37"/>
      <c r="G129" s="37"/>
      <c r="H129" s="37"/>
    </row>
    <row r="130" spans="1:13" x14ac:dyDescent="0.25">
      <c r="D130" s="37"/>
      <c r="G130" s="37"/>
      <c r="H130" s="37"/>
    </row>
    <row r="131" spans="1:13" x14ac:dyDescent="0.25">
      <c r="D131" s="37"/>
      <c r="G131" s="37"/>
      <c r="H131" s="37"/>
    </row>
    <row r="132" spans="1:13" x14ac:dyDescent="0.25">
      <c r="D132" s="37"/>
      <c r="G132" s="37"/>
      <c r="H132" s="37"/>
    </row>
    <row r="133" spans="1:13" x14ac:dyDescent="0.25">
      <c r="D133" s="37"/>
      <c r="G133" s="37"/>
      <c r="H133" s="37"/>
    </row>
    <row r="134" spans="1:13" x14ac:dyDescent="0.25">
      <c r="D134" s="37"/>
      <c r="G134" s="37"/>
      <c r="H134" s="37"/>
    </row>
    <row r="135" spans="1:13" x14ac:dyDescent="0.25">
      <c r="D135" s="37"/>
      <c r="G135" s="37"/>
      <c r="H135" s="37"/>
    </row>
    <row r="136" spans="1:13" x14ac:dyDescent="0.25">
      <c r="D136" s="37"/>
      <c r="G136" s="37"/>
      <c r="H136" s="37"/>
    </row>
    <row r="137" spans="1:13" x14ac:dyDescent="0.25">
      <c r="D137" s="37"/>
      <c r="G137" s="37"/>
      <c r="H137" s="37"/>
    </row>
    <row r="138" spans="1:13" s="186" customFormat="1" x14ac:dyDescent="0.25">
      <c r="D138" s="187"/>
      <c r="E138" s="187"/>
      <c r="F138" s="187"/>
      <c r="G138" s="187"/>
      <c r="H138" s="187"/>
      <c r="I138" s="187"/>
    </row>
    <row r="139" spans="1:13" s="186" customFormat="1" x14ac:dyDescent="0.25">
      <c r="D139" s="187"/>
      <c r="E139" s="187"/>
      <c r="F139" s="187"/>
      <c r="G139" s="187"/>
      <c r="H139" s="187"/>
      <c r="I139" s="187"/>
    </row>
    <row r="141" spans="1:13" ht="15.75" x14ac:dyDescent="0.25">
      <c r="A141" s="28" t="s">
        <v>165</v>
      </c>
      <c r="B141" s="28"/>
      <c r="D141" s="28"/>
      <c r="E141" s="28"/>
      <c r="F141" s="28"/>
      <c r="G141" s="28"/>
      <c r="H141"/>
      <c r="I141"/>
    </row>
    <row r="142" spans="1:13" x14ac:dyDescent="0.25">
      <c r="A142" s="2" t="s">
        <v>57</v>
      </c>
      <c r="B142" s="63" t="s">
        <v>0</v>
      </c>
      <c r="C142" s="63" t="s">
        <v>166</v>
      </c>
      <c r="D142" s="63" t="s">
        <v>167</v>
      </c>
      <c r="E142" s="2" t="s">
        <v>171</v>
      </c>
      <c r="F142" s="2" t="s">
        <v>169</v>
      </c>
      <c r="G142" s="2" t="s">
        <v>170</v>
      </c>
      <c r="H142" s="2" t="s">
        <v>176</v>
      </c>
      <c r="I142"/>
      <c r="J142" s="186"/>
      <c r="K142" s="63"/>
      <c r="L142" s="2"/>
      <c r="M142" s="2"/>
    </row>
    <row r="143" spans="1:13" hidden="1" x14ac:dyDescent="0.25">
      <c r="A143" s="12">
        <v>41061</v>
      </c>
      <c r="B143" s="10">
        <f>SUM(C143:H143)</f>
        <v>7</v>
      </c>
      <c r="C143" s="10">
        <v>5</v>
      </c>
      <c r="D143" s="10">
        <v>0</v>
      </c>
      <c r="E143" s="10">
        <v>1</v>
      </c>
      <c r="F143" s="10">
        <v>0</v>
      </c>
      <c r="G143" s="10">
        <v>1</v>
      </c>
      <c r="H143" s="10">
        <v>0</v>
      </c>
      <c r="I143"/>
      <c r="J143" s="186"/>
      <c r="K143" s="10"/>
      <c r="L143" s="2"/>
      <c r="M143" s="2"/>
    </row>
    <row r="144" spans="1:13" hidden="1" x14ac:dyDescent="0.25">
      <c r="A144" s="12">
        <v>41091</v>
      </c>
      <c r="B144" s="10">
        <v>6</v>
      </c>
      <c r="C144" s="10">
        <v>6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/>
      <c r="J144" s="186"/>
      <c r="K144" s="10"/>
      <c r="L144" s="2"/>
      <c r="M144" s="2"/>
    </row>
    <row r="145" spans="1:13" hidden="1" x14ac:dyDescent="0.25">
      <c r="A145" s="12">
        <v>41122</v>
      </c>
      <c r="B145" s="8">
        <v>7</v>
      </c>
      <c r="C145" s="16">
        <v>3</v>
      </c>
      <c r="D145" s="10">
        <v>3</v>
      </c>
      <c r="E145" s="10">
        <v>1</v>
      </c>
      <c r="F145" s="10">
        <v>0</v>
      </c>
      <c r="G145" s="10">
        <v>0</v>
      </c>
      <c r="H145" s="10">
        <v>0</v>
      </c>
      <c r="I145"/>
      <c r="J145" s="186"/>
      <c r="K145" s="8"/>
      <c r="L145" s="2"/>
      <c r="M145" s="2"/>
    </row>
    <row r="146" spans="1:13" hidden="1" x14ac:dyDescent="0.25">
      <c r="A146" s="12">
        <v>41153</v>
      </c>
      <c r="B146" s="10">
        <v>2</v>
      </c>
      <c r="C146" s="10">
        <v>1</v>
      </c>
      <c r="D146" s="10">
        <v>1</v>
      </c>
      <c r="E146" s="10">
        <v>0</v>
      </c>
      <c r="F146" s="10">
        <v>0</v>
      </c>
      <c r="G146" s="10">
        <v>0</v>
      </c>
      <c r="H146" s="10">
        <v>1</v>
      </c>
      <c r="I146"/>
      <c r="J146" s="186"/>
      <c r="K146" s="10"/>
      <c r="L146" s="2"/>
      <c r="M146" s="2"/>
    </row>
    <row r="147" spans="1:13" hidden="1" x14ac:dyDescent="0.25">
      <c r="A147" s="12">
        <v>41183</v>
      </c>
      <c r="B147" s="27">
        <v>5</v>
      </c>
      <c r="C147" s="27">
        <v>4</v>
      </c>
      <c r="D147" s="27">
        <v>0</v>
      </c>
      <c r="E147" s="27">
        <v>1</v>
      </c>
      <c r="F147" s="27">
        <v>0</v>
      </c>
      <c r="G147" s="27">
        <v>0</v>
      </c>
      <c r="H147" s="27">
        <v>0</v>
      </c>
      <c r="I147"/>
      <c r="J147" s="186"/>
      <c r="K147" s="27"/>
    </row>
    <row r="148" spans="1:13" hidden="1" x14ac:dyDescent="0.25">
      <c r="A148" s="12">
        <v>41214</v>
      </c>
      <c r="B148" s="27">
        <v>2</v>
      </c>
      <c r="C148" s="27">
        <v>1</v>
      </c>
      <c r="D148" s="27">
        <v>1</v>
      </c>
      <c r="E148" s="27">
        <v>0</v>
      </c>
      <c r="F148" s="27">
        <v>0</v>
      </c>
      <c r="G148" s="27">
        <v>0</v>
      </c>
      <c r="H148" s="27">
        <v>0</v>
      </c>
      <c r="I148"/>
      <c r="J148" s="186"/>
      <c r="K148" s="27"/>
    </row>
    <row r="149" spans="1:13" hidden="1" x14ac:dyDescent="0.25">
      <c r="A149" s="12">
        <v>41244</v>
      </c>
      <c r="B149" s="27">
        <v>1</v>
      </c>
      <c r="C149" s="27">
        <v>0</v>
      </c>
      <c r="D149" s="27">
        <v>0</v>
      </c>
      <c r="E149" s="27">
        <v>0</v>
      </c>
      <c r="F149" s="27">
        <v>1</v>
      </c>
      <c r="G149" s="27">
        <v>0</v>
      </c>
      <c r="H149" s="27">
        <v>0</v>
      </c>
      <c r="I149"/>
      <c r="J149" s="186"/>
      <c r="K149" s="27"/>
    </row>
    <row r="150" spans="1:13" hidden="1" x14ac:dyDescent="0.25">
      <c r="A150" s="12">
        <v>41275</v>
      </c>
      <c r="B150" s="27">
        <v>0</v>
      </c>
      <c r="C150" s="27">
        <v>0</v>
      </c>
      <c r="D150" s="27">
        <v>0</v>
      </c>
      <c r="E150" s="27">
        <v>0</v>
      </c>
      <c r="F150" s="27">
        <v>0</v>
      </c>
      <c r="G150" s="27">
        <v>0</v>
      </c>
      <c r="H150" s="27">
        <v>0</v>
      </c>
      <c r="I150"/>
      <c r="J150" s="186"/>
      <c r="K150" s="27"/>
    </row>
    <row r="151" spans="1:13" hidden="1" x14ac:dyDescent="0.25">
      <c r="A151" s="12">
        <v>41306</v>
      </c>
      <c r="B151" s="27">
        <v>4</v>
      </c>
      <c r="C151" s="27">
        <v>3</v>
      </c>
      <c r="D151" s="27">
        <v>1</v>
      </c>
      <c r="E151" s="27">
        <v>0</v>
      </c>
      <c r="F151" s="27">
        <v>0</v>
      </c>
      <c r="G151" s="27">
        <v>0</v>
      </c>
      <c r="H151" s="27">
        <v>0</v>
      </c>
      <c r="I151"/>
      <c r="J151" s="186"/>
      <c r="K151" s="27"/>
    </row>
    <row r="152" spans="1:13" hidden="1" x14ac:dyDescent="0.25">
      <c r="A152" s="12">
        <v>41334</v>
      </c>
      <c r="B152" s="27">
        <v>11</v>
      </c>
      <c r="C152" s="27">
        <v>7</v>
      </c>
      <c r="D152" s="27">
        <v>3</v>
      </c>
      <c r="E152" s="27">
        <v>1</v>
      </c>
      <c r="F152" s="27">
        <v>0</v>
      </c>
      <c r="G152" s="27">
        <v>0</v>
      </c>
      <c r="H152" s="27">
        <v>0</v>
      </c>
      <c r="I152"/>
      <c r="J152" s="186"/>
      <c r="K152" s="27"/>
    </row>
    <row r="153" spans="1:13" hidden="1" x14ac:dyDescent="0.25">
      <c r="A153" s="12">
        <v>41365</v>
      </c>
      <c r="B153" s="27">
        <v>3</v>
      </c>
      <c r="C153" s="27">
        <v>3</v>
      </c>
      <c r="D153" s="27">
        <v>0</v>
      </c>
      <c r="E153" s="27">
        <v>0</v>
      </c>
      <c r="F153" s="27">
        <v>0</v>
      </c>
      <c r="G153" s="27">
        <v>0</v>
      </c>
      <c r="H153" s="27">
        <v>0</v>
      </c>
      <c r="I153"/>
      <c r="J153" s="186"/>
      <c r="K153" s="27"/>
    </row>
    <row r="154" spans="1:13" hidden="1" x14ac:dyDescent="0.25">
      <c r="A154" s="12">
        <v>41395</v>
      </c>
      <c r="B154" s="27">
        <v>4</v>
      </c>
      <c r="C154" s="27">
        <v>3</v>
      </c>
      <c r="D154" s="27">
        <v>0</v>
      </c>
      <c r="E154" s="27">
        <v>1</v>
      </c>
      <c r="F154" s="27">
        <v>0</v>
      </c>
      <c r="G154" s="27">
        <v>0</v>
      </c>
      <c r="H154" s="27">
        <v>0</v>
      </c>
      <c r="I154"/>
      <c r="J154" s="186"/>
      <c r="K154" s="27"/>
    </row>
    <row r="155" spans="1:13" hidden="1" x14ac:dyDescent="0.25">
      <c r="A155" s="12">
        <v>41426</v>
      </c>
      <c r="B155" s="27">
        <v>7</v>
      </c>
      <c r="C155" s="27">
        <v>7</v>
      </c>
      <c r="D155" s="27">
        <v>0</v>
      </c>
      <c r="E155" s="27">
        <v>0</v>
      </c>
      <c r="F155" s="27">
        <v>0</v>
      </c>
      <c r="G155" s="27">
        <v>0</v>
      </c>
      <c r="H155" s="27">
        <v>0</v>
      </c>
      <c r="I155"/>
      <c r="J155" s="186"/>
      <c r="K155" s="27"/>
    </row>
    <row r="156" spans="1:13" hidden="1" x14ac:dyDescent="0.25">
      <c r="A156" s="12">
        <v>41456</v>
      </c>
      <c r="B156" s="27">
        <v>1</v>
      </c>
      <c r="C156" s="27">
        <v>1</v>
      </c>
      <c r="D156" s="27">
        <v>0</v>
      </c>
      <c r="E156" s="27">
        <v>0</v>
      </c>
      <c r="F156" s="27">
        <v>0</v>
      </c>
      <c r="G156" s="27">
        <v>0</v>
      </c>
      <c r="H156" s="27">
        <v>0</v>
      </c>
      <c r="I156"/>
      <c r="J156" s="186"/>
      <c r="K156" s="27"/>
    </row>
    <row r="157" spans="1:13" hidden="1" x14ac:dyDescent="0.25">
      <c r="A157" s="12">
        <v>41487</v>
      </c>
      <c r="B157" s="27">
        <v>6</v>
      </c>
      <c r="C157" s="27">
        <v>5</v>
      </c>
      <c r="D157" s="27">
        <v>0</v>
      </c>
      <c r="E157" s="27">
        <v>1</v>
      </c>
      <c r="F157" s="27">
        <v>0</v>
      </c>
      <c r="G157" s="27">
        <v>0</v>
      </c>
      <c r="H157" s="27">
        <v>0</v>
      </c>
      <c r="I157"/>
      <c r="J157" s="186"/>
      <c r="K157" s="27"/>
    </row>
    <row r="158" spans="1:13" hidden="1" x14ac:dyDescent="0.25">
      <c r="A158" s="12">
        <v>41518</v>
      </c>
      <c r="B158" s="27">
        <v>1</v>
      </c>
      <c r="C158" s="27">
        <v>1</v>
      </c>
      <c r="D158" s="27">
        <v>0</v>
      </c>
      <c r="E158" s="27">
        <v>0</v>
      </c>
      <c r="F158" s="27">
        <v>0</v>
      </c>
      <c r="G158" s="27">
        <v>0</v>
      </c>
      <c r="H158" s="27">
        <v>0</v>
      </c>
      <c r="I158"/>
      <c r="J158" s="186"/>
      <c r="K158" s="27"/>
    </row>
    <row r="159" spans="1:13" hidden="1" x14ac:dyDescent="0.25">
      <c r="A159" s="12">
        <v>41548</v>
      </c>
      <c r="B159" s="27">
        <v>4</v>
      </c>
      <c r="C159" s="27">
        <v>4</v>
      </c>
      <c r="D159" s="27">
        <v>0</v>
      </c>
      <c r="E159" s="27">
        <v>0</v>
      </c>
      <c r="F159" s="27">
        <v>0</v>
      </c>
      <c r="G159" s="27">
        <v>0</v>
      </c>
      <c r="H159" s="27">
        <v>0</v>
      </c>
      <c r="I159"/>
      <c r="J159" s="186"/>
      <c r="K159" s="27"/>
    </row>
    <row r="160" spans="1:13" hidden="1" x14ac:dyDescent="0.25">
      <c r="A160" s="12">
        <v>41579</v>
      </c>
      <c r="B160" s="27">
        <v>1</v>
      </c>
      <c r="C160" s="27">
        <v>1</v>
      </c>
      <c r="D160" s="27">
        <v>0</v>
      </c>
      <c r="E160" s="27">
        <v>0</v>
      </c>
      <c r="F160" s="27">
        <v>0</v>
      </c>
      <c r="G160" s="27">
        <v>0</v>
      </c>
      <c r="H160" s="27">
        <v>0</v>
      </c>
      <c r="I160"/>
      <c r="J160" s="186"/>
      <c r="K160" s="27"/>
    </row>
    <row r="161" spans="1:11" hidden="1" x14ac:dyDescent="0.25">
      <c r="A161" s="12">
        <v>41609</v>
      </c>
      <c r="B161" s="27">
        <v>1</v>
      </c>
      <c r="C161" s="27">
        <v>1</v>
      </c>
      <c r="D161" s="27">
        <v>0</v>
      </c>
      <c r="E161" s="27">
        <v>0</v>
      </c>
      <c r="F161" s="27">
        <v>0</v>
      </c>
      <c r="G161" s="27">
        <v>0</v>
      </c>
      <c r="H161" s="27">
        <v>0</v>
      </c>
      <c r="I161"/>
      <c r="J161" s="186"/>
      <c r="K161" s="27"/>
    </row>
    <row r="162" spans="1:11" hidden="1" x14ac:dyDescent="0.25">
      <c r="A162" s="12">
        <v>41640</v>
      </c>
      <c r="B162" s="27">
        <v>0</v>
      </c>
      <c r="C162" s="27">
        <v>0</v>
      </c>
      <c r="D162" s="27">
        <v>0</v>
      </c>
      <c r="E162" s="27">
        <v>0</v>
      </c>
      <c r="F162" s="27">
        <v>0</v>
      </c>
      <c r="G162" s="27">
        <v>0</v>
      </c>
      <c r="H162" s="27">
        <v>0</v>
      </c>
      <c r="I162"/>
      <c r="J162" s="186"/>
      <c r="K162" s="27"/>
    </row>
    <row r="163" spans="1:11" hidden="1" x14ac:dyDescent="0.25">
      <c r="A163" s="12">
        <v>41671</v>
      </c>
      <c r="B163" s="27">
        <v>1</v>
      </c>
      <c r="C163" s="27">
        <v>1</v>
      </c>
      <c r="D163" s="27">
        <v>0</v>
      </c>
      <c r="E163" s="27">
        <v>0</v>
      </c>
      <c r="F163" s="27">
        <v>0</v>
      </c>
      <c r="G163" s="27">
        <v>0</v>
      </c>
      <c r="H163" s="27">
        <v>0</v>
      </c>
      <c r="I163"/>
      <c r="J163" s="186"/>
      <c r="K163" s="27"/>
    </row>
    <row r="164" spans="1:11" hidden="1" x14ac:dyDescent="0.25">
      <c r="A164" s="12">
        <v>41699</v>
      </c>
      <c r="B164" s="27">
        <v>0</v>
      </c>
      <c r="C164" s="27">
        <v>0</v>
      </c>
      <c r="D164" s="27">
        <v>0</v>
      </c>
      <c r="E164" s="27">
        <v>0</v>
      </c>
      <c r="F164" s="27">
        <v>0</v>
      </c>
      <c r="G164" s="27">
        <v>0</v>
      </c>
      <c r="H164" s="27">
        <v>0</v>
      </c>
      <c r="I164"/>
      <c r="J164" s="186"/>
      <c r="K164" s="27"/>
    </row>
    <row r="165" spans="1:11" hidden="1" x14ac:dyDescent="0.25">
      <c r="A165" s="12">
        <v>41730</v>
      </c>
      <c r="B165" s="27">
        <v>2</v>
      </c>
      <c r="C165" s="27">
        <v>2</v>
      </c>
      <c r="D165" s="27">
        <v>0</v>
      </c>
      <c r="E165" s="27">
        <v>0</v>
      </c>
      <c r="F165" s="27">
        <v>0</v>
      </c>
      <c r="G165" s="27">
        <v>0</v>
      </c>
      <c r="H165" s="27">
        <v>0</v>
      </c>
      <c r="I165"/>
      <c r="J165" s="186"/>
      <c r="K165" s="27"/>
    </row>
    <row r="166" spans="1:11" hidden="1" x14ac:dyDescent="0.25">
      <c r="A166" s="12">
        <v>41760</v>
      </c>
      <c r="B166" s="27">
        <v>0</v>
      </c>
      <c r="C166" s="27">
        <v>0</v>
      </c>
      <c r="D166" s="27">
        <v>0</v>
      </c>
      <c r="E166" s="27">
        <v>0</v>
      </c>
      <c r="F166" s="27">
        <v>0</v>
      </c>
      <c r="G166" s="27">
        <v>0</v>
      </c>
      <c r="H166" s="27">
        <v>0</v>
      </c>
      <c r="I166"/>
      <c r="J166" s="186"/>
      <c r="K166" s="27"/>
    </row>
    <row r="167" spans="1:11" hidden="1" x14ac:dyDescent="0.25">
      <c r="A167" s="12">
        <v>41791</v>
      </c>
      <c r="B167" s="27">
        <v>1</v>
      </c>
      <c r="C167" s="27">
        <v>1</v>
      </c>
      <c r="D167" s="27">
        <v>0</v>
      </c>
      <c r="E167" s="27">
        <v>0</v>
      </c>
      <c r="F167" s="27">
        <v>0</v>
      </c>
      <c r="G167" s="27">
        <v>0</v>
      </c>
      <c r="H167" s="27">
        <v>0</v>
      </c>
      <c r="I167"/>
      <c r="J167" s="186"/>
      <c r="K167" s="27"/>
    </row>
    <row r="168" spans="1:11" hidden="1" x14ac:dyDescent="0.25">
      <c r="A168" s="12">
        <v>41821</v>
      </c>
      <c r="B168" s="27">
        <v>3</v>
      </c>
      <c r="C168" s="27">
        <v>3</v>
      </c>
      <c r="D168" s="27">
        <v>0</v>
      </c>
      <c r="E168" s="27">
        <v>0</v>
      </c>
      <c r="F168" s="27">
        <v>0</v>
      </c>
      <c r="G168" s="27">
        <v>0</v>
      </c>
      <c r="H168" s="27">
        <v>0</v>
      </c>
      <c r="I168"/>
      <c r="J168" s="186"/>
      <c r="K168" s="27"/>
    </row>
    <row r="169" spans="1:11" hidden="1" x14ac:dyDescent="0.25">
      <c r="A169" s="12">
        <v>41852</v>
      </c>
      <c r="B169" s="27">
        <v>4</v>
      </c>
      <c r="C169" s="27">
        <v>3</v>
      </c>
      <c r="D169" s="27">
        <v>1</v>
      </c>
      <c r="E169" s="27">
        <v>0</v>
      </c>
      <c r="F169" s="27">
        <v>0</v>
      </c>
      <c r="G169" s="27">
        <v>0</v>
      </c>
      <c r="H169" s="27">
        <v>0</v>
      </c>
      <c r="I169"/>
      <c r="J169" s="186"/>
      <c r="K169" s="27"/>
    </row>
    <row r="170" spans="1:11" s="186" customFormat="1" hidden="1" x14ac:dyDescent="0.25">
      <c r="A170" s="12">
        <v>41883</v>
      </c>
      <c r="B170" s="27">
        <v>4</v>
      </c>
      <c r="C170" s="27">
        <v>4</v>
      </c>
      <c r="D170" s="27">
        <v>0</v>
      </c>
      <c r="E170" s="27">
        <v>0</v>
      </c>
      <c r="F170" s="27">
        <v>0</v>
      </c>
      <c r="G170" s="27">
        <v>0</v>
      </c>
      <c r="H170" s="27">
        <v>0</v>
      </c>
      <c r="K170" s="27"/>
    </row>
    <row r="171" spans="1:11" s="186" customFormat="1" hidden="1" x14ac:dyDescent="0.25">
      <c r="A171" s="12">
        <v>41913</v>
      </c>
      <c r="B171" s="27">
        <v>7</v>
      </c>
      <c r="C171" s="27">
        <v>7</v>
      </c>
      <c r="D171" s="27">
        <v>0</v>
      </c>
      <c r="E171" s="27">
        <v>0</v>
      </c>
      <c r="F171" s="27">
        <v>0</v>
      </c>
      <c r="G171" s="27">
        <v>0</v>
      </c>
      <c r="H171" s="27">
        <v>0</v>
      </c>
      <c r="K171" s="27"/>
    </row>
    <row r="172" spans="1:11" s="186" customFormat="1" hidden="1" x14ac:dyDescent="0.25">
      <c r="A172" s="12">
        <v>41944</v>
      </c>
      <c r="B172" s="27">
        <v>3</v>
      </c>
      <c r="C172" s="27">
        <v>3</v>
      </c>
      <c r="D172" s="27">
        <v>0</v>
      </c>
      <c r="E172" s="27">
        <v>0</v>
      </c>
      <c r="F172" s="27">
        <v>0</v>
      </c>
      <c r="G172" s="27">
        <v>0</v>
      </c>
      <c r="H172" s="27">
        <v>0</v>
      </c>
      <c r="K172" s="27"/>
    </row>
    <row r="173" spans="1:11" hidden="1" x14ac:dyDescent="0.25">
      <c r="A173" s="1">
        <v>41974</v>
      </c>
      <c r="B173" s="27">
        <v>5</v>
      </c>
      <c r="C173" s="27">
        <v>5</v>
      </c>
      <c r="D173" s="27">
        <v>0</v>
      </c>
      <c r="E173" s="27">
        <v>0</v>
      </c>
      <c r="F173" s="27">
        <v>0</v>
      </c>
      <c r="G173" s="27">
        <v>0</v>
      </c>
      <c r="H173" s="27">
        <v>0</v>
      </c>
      <c r="I173"/>
      <c r="J173" s="186"/>
      <c r="K173" s="27"/>
    </row>
    <row r="174" spans="1:11" s="186" customFormat="1" hidden="1" x14ac:dyDescent="0.25">
      <c r="A174" s="1">
        <v>42005</v>
      </c>
      <c r="B174" s="27">
        <v>0</v>
      </c>
      <c r="C174" s="27">
        <v>0</v>
      </c>
      <c r="D174" s="27">
        <v>0</v>
      </c>
      <c r="E174" s="27">
        <v>0</v>
      </c>
      <c r="F174" s="27">
        <v>0</v>
      </c>
      <c r="G174" s="27">
        <v>0</v>
      </c>
      <c r="H174" s="27">
        <v>0</v>
      </c>
      <c r="K174" s="27"/>
    </row>
    <row r="175" spans="1:11" s="186" customFormat="1" hidden="1" x14ac:dyDescent="0.25">
      <c r="A175" s="1">
        <v>42036</v>
      </c>
      <c r="B175" s="27">
        <v>2</v>
      </c>
      <c r="C175" s="27">
        <v>1</v>
      </c>
      <c r="D175" s="27">
        <v>1</v>
      </c>
      <c r="E175" s="27">
        <v>0</v>
      </c>
      <c r="F175" s="27">
        <v>0</v>
      </c>
      <c r="G175" s="27">
        <v>0</v>
      </c>
      <c r="H175" s="27">
        <v>0</v>
      </c>
      <c r="K175" s="27"/>
    </row>
    <row r="176" spans="1:11" s="186" customFormat="1" hidden="1" x14ac:dyDescent="0.25">
      <c r="A176" s="1">
        <v>42064</v>
      </c>
      <c r="B176" s="27">
        <v>9</v>
      </c>
      <c r="C176" s="27">
        <v>7</v>
      </c>
      <c r="D176" s="27">
        <v>2</v>
      </c>
      <c r="E176" s="27">
        <v>0</v>
      </c>
      <c r="F176" s="27">
        <v>0</v>
      </c>
      <c r="G176" s="27">
        <v>0</v>
      </c>
      <c r="H176" s="27">
        <v>0</v>
      </c>
      <c r="K176" s="27"/>
    </row>
    <row r="177" spans="1:11" s="186" customFormat="1" hidden="1" x14ac:dyDescent="0.25">
      <c r="A177" s="1">
        <v>42095</v>
      </c>
      <c r="B177" s="27">
        <v>3</v>
      </c>
      <c r="C177" s="27">
        <v>2</v>
      </c>
      <c r="D177" s="27">
        <v>1</v>
      </c>
      <c r="E177" s="27">
        <v>0</v>
      </c>
      <c r="F177" s="27">
        <v>0</v>
      </c>
      <c r="G177" s="27">
        <v>0</v>
      </c>
      <c r="H177" s="27">
        <v>0</v>
      </c>
      <c r="K177" s="27"/>
    </row>
    <row r="178" spans="1:11" s="186" customFormat="1" hidden="1" x14ac:dyDescent="0.25">
      <c r="A178" s="1">
        <v>42125</v>
      </c>
      <c r="B178" s="27">
        <v>2</v>
      </c>
      <c r="C178" s="27">
        <v>2</v>
      </c>
      <c r="D178" s="27">
        <v>0</v>
      </c>
      <c r="E178" s="27">
        <v>0</v>
      </c>
      <c r="F178" s="27">
        <v>0</v>
      </c>
      <c r="G178" s="27">
        <v>0</v>
      </c>
      <c r="H178" s="27">
        <v>0</v>
      </c>
      <c r="K178" s="27"/>
    </row>
    <row r="179" spans="1:11" s="186" customFormat="1" hidden="1" x14ac:dyDescent="0.25">
      <c r="A179" s="1">
        <v>42156</v>
      </c>
      <c r="B179" s="27">
        <v>1</v>
      </c>
      <c r="C179" s="27">
        <v>1</v>
      </c>
      <c r="D179" s="27">
        <v>0</v>
      </c>
      <c r="E179" s="27">
        <v>0</v>
      </c>
      <c r="F179" s="27">
        <v>0</v>
      </c>
      <c r="G179" s="27">
        <v>0</v>
      </c>
      <c r="H179" s="27">
        <v>0</v>
      </c>
      <c r="K179" s="27"/>
    </row>
    <row r="180" spans="1:11" s="186" customFormat="1" hidden="1" x14ac:dyDescent="0.25">
      <c r="A180" s="1">
        <v>42200</v>
      </c>
      <c r="B180" s="27">
        <v>1</v>
      </c>
      <c r="C180" s="27">
        <v>1</v>
      </c>
      <c r="D180" s="27">
        <v>0</v>
      </c>
      <c r="E180" s="27">
        <v>0</v>
      </c>
      <c r="F180" s="27">
        <v>0</v>
      </c>
      <c r="G180" s="27">
        <v>0</v>
      </c>
      <c r="H180" s="27">
        <v>0</v>
      </c>
      <c r="K180" s="27"/>
    </row>
    <row r="181" spans="1:11" s="186" customFormat="1" x14ac:dyDescent="0.25">
      <c r="A181" s="1">
        <v>42231</v>
      </c>
      <c r="B181" s="27">
        <v>0</v>
      </c>
      <c r="C181" s="27">
        <v>0</v>
      </c>
      <c r="D181" s="27">
        <v>0</v>
      </c>
      <c r="E181" s="27">
        <v>0</v>
      </c>
      <c r="F181" s="27">
        <v>0</v>
      </c>
      <c r="G181" s="27">
        <v>0</v>
      </c>
      <c r="H181" s="27">
        <v>0</v>
      </c>
      <c r="K181" s="27"/>
    </row>
    <row r="182" spans="1:11" s="186" customFormat="1" x14ac:dyDescent="0.25">
      <c r="A182" s="1">
        <v>42262</v>
      </c>
      <c r="B182" s="27">
        <v>0</v>
      </c>
      <c r="C182" s="27">
        <v>0</v>
      </c>
      <c r="D182" s="27">
        <v>0</v>
      </c>
      <c r="E182" s="27">
        <v>0</v>
      </c>
      <c r="F182" s="27">
        <v>0</v>
      </c>
      <c r="G182" s="27">
        <v>0</v>
      </c>
      <c r="H182" s="27">
        <v>0</v>
      </c>
      <c r="K182" s="27"/>
    </row>
    <row r="183" spans="1:11" s="186" customFormat="1" x14ac:dyDescent="0.25">
      <c r="A183" s="1">
        <v>42292</v>
      </c>
      <c r="B183" s="27">
        <v>1</v>
      </c>
      <c r="C183" s="27">
        <v>0</v>
      </c>
      <c r="D183" s="27">
        <v>1</v>
      </c>
      <c r="E183" s="27">
        <v>0</v>
      </c>
      <c r="F183" s="27">
        <v>0</v>
      </c>
      <c r="G183" s="27">
        <v>0</v>
      </c>
      <c r="H183" s="27">
        <v>0</v>
      </c>
      <c r="K183" s="27"/>
    </row>
    <row r="184" spans="1:11" s="186" customFormat="1" x14ac:dyDescent="0.25">
      <c r="A184" s="1">
        <v>42309</v>
      </c>
      <c r="B184" s="27">
        <v>2</v>
      </c>
      <c r="C184" s="27">
        <v>2</v>
      </c>
      <c r="D184" s="27">
        <v>0</v>
      </c>
      <c r="E184" s="27">
        <v>0</v>
      </c>
      <c r="F184" s="27">
        <v>0</v>
      </c>
      <c r="G184" s="27">
        <v>0</v>
      </c>
      <c r="H184" s="27">
        <v>0</v>
      </c>
      <c r="K184" s="27"/>
    </row>
    <row r="185" spans="1:11" s="186" customFormat="1" x14ac:dyDescent="0.25">
      <c r="A185" s="1">
        <v>42339</v>
      </c>
      <c r="B185" s="27">
        <v>3</v>
      </c>
      <c r="C185" s="27">
        <v>1</v>
      </c>
      <c r="D185" s="27">
        <v>2</v>
      </c>
      <c r="E185" s="27">
        <v>0</v>
      </c>
      <c r="F185" s="27">
        <v>0</v>
      </c>
      <c r="G185" s="27">
        <v>0</v>
      </c>
      <c r="H185" s="27">
        <v>0</v>
      </c>
      <c r="K185" s="27"/>
    </row>
    <row r="186" spans="1:11" s="186" customFormat="1" x14ac:dyDescent="0.25">
      <c r="A186" s="1">
        <v>42370</v>
      </c>
      <c r="B186" s="27">
        <v>7</v>
      </c>
      <c r="C186" s="27">
        <v>3</v>
      </c>
      <c r="D186" s="27">
        <v>2</v>
      </c>
      <c r="E186" s="27">
        <v>2</v>
      </c>
      <c r="F186" s="27">
        <v>0</v>
      </c>
      <c r="G186" s="27">
        <v>0</v>
      </c>
      <c r="H186" s="27">
        <v>0</v>
      </c>
      <c r="K186" s="27"/>
    </row>
    <row r="187" spans="1:11" s="186" customFormat="1" x14ac:dyDescent="0.25">
      <c r="A187" s="1">
        <v>42401</v>
      </c>
      <c r="B187" s="27">
        <v>9</v>
      </c>
      <c r="C187" s="27">
        <v>3</v>
      </c>
      <c r="D187" s="27">
        <v>2</v>
      </c>
      <c r="E187" s="27">
        <v>2</v>
      </c>
      <c r="F187" s="27">
        <v>2</v>
      </c>
      <c r="G187" s="27">
        <v>0</v>
      </c>
      <c r="H187" s="27">
        <v>0</v>
      </c>
      <c r="K187" s="27"/>
    </row>
    <row r="188" spans="1:11" s="186" customFormat="1" x14ac:dyDescent="0.25">
      <c r="A188" s="1">
        <v>42430</v>
      </c>
      <c r="B188" s="27">
        <v>11</v>
      </c>
      <c r="C188" s="27">
        <v>2</v>
      </c>
      <c r="D188" s="27">
        <v>3</v>
      </c>
      <c r="E188" s="27">
        <v>2</v>
      </c>
      <c r="F188" s="27">
        <v>4</v>
      </c>
      <c r="G188" s="27">
        <v>0</v>
      </c>
      <c r="H188" s="27">
        <v>0</v>
      </c>
      <c r="K188" s="27"/>
    </row>
    <row r="189" spans="1:11" s="186" customFormat="1" x14ac:dyDescent="0.25">
      <c r="A189" s="1">
        <v>42461</v>
      </c>
      <c r="B189" s="27">
        <v>10</v>
      </c>
      <c r="C189" s="27">
        <v>0</v>
      </c>
      <c r="D189" s="27">
        <v>1</v>
      </c>
      <c r="E189" s="27">
        <v>3</v>
      </c>
      <c r="F189" s="27">
        <v>6</v>
      </c>
      <c r="G189" s="27">
        <v>0</v>
      </c>
      <c r="H189" s="27">
        <v>0</v>
      </c>
      <c r="K189" s="27"/>
    </row>
    <row r="190" spans="1:11" s="186" customFormat="1" x14ac:dyDescent="0.25">
      <c r="A190" s="1">
        <v>42491</v>
      </c>
      <c r="B190" s="27">
        <v>12</v>
      </c>
      <c r="C190" s="27">
        <v>2</v>
      </c>
      <c r="D190" s="27">
        <v>0</v>
      </c>
      <c r="E190" s="27">
        <v>1</v>
      </c>
      <c r="F190" s="27">
        <v>7</v>
      </c>
      <c r="G190" s="27">
        <v>2</v>
      </c>
      <c r="H190" s="27">
        <v>0</v>
      </c>
      <c r="K190" s="27"/>
    </row>
    <row r="191" spans="1:11" s="186" customFormat="1" x14ac:dyDescent="0.25">
      <c r="A191" s="1">
        <v>42522</v>
      </c>
      <c r="B191" s="27">
        <v>15</v>
      </c>
      <c r="C191" s="27">
        <v>4</v>
      </c>
      <c r="D191" s="27">
        <v>1</v>
      </c>
      <c r="E191" s="27">
        <v>0</v>
      </c>
      <c r="F191" s="27">
        <v>6</v>
      </c>
      <c r="G191" s="27">
        <v>4</v>
      </c>
      <c r="H191" s="27">
        <v>0</v>
      </c>
      <c r="K191" s="27"/>
    </row>
    <row r="192" spans="1:11" s="186" customFormat="1" x14ac:dyDescent="0.25">
      <c r="A192" s="1">
        <v>42552</v>
      </c>
      <c r="B192" s="27">
        <v>20</v>
      </c>
      <c r="C192" s="27">
        <v>5</v>
      </c>
      <c r="D192" s="27">
        <v>4</v>
      </c>
      <c r="E192" s="27">
        <v>1</v>
      </c>
      <c r="F192" s="27">
        <v>4</v>
      </c>
      <c r="G192" s="27">
        <v>6</v>
      </c>
      <c r="H192" s="27">
        <v>0</v>
      </c>
      <c r="K192" s="27"/>
    </row>
    <row r="193" spans="1:11" s="186" customFormat="1" x14ac:dyDescent="0.25">
      <c r="A193" s="1">
        <v>42583</v>
      </c>
      <c r="B193" s="27">
        <v>28</v>
      </c>
      <c r="C193" s="27">
        <v>8</v>
      </c>
      <c r="D193" s="27">
        <v>4</v>
      </c>
      <c r="E193" s="27">
        <v>5</v>
      </c>
      <c r="F193" s="27">
        <v>2</v>
      </c>
      <c r="G193" s="27">
        <v>9</v>
      </c>
      <c r="H193" s="27">
        <v>0</v>
      </c>
      <c r="K193" s="27"/>
    </row>
    <row r="214" spans="3:8" x14ac:dyDescent="0.25">
      <c r="C214" s="27"/>
      <c r="D214" s="27"/>
      <c r="E214" s="27"/>
      <c r="F214" s="27"/>
      <c r="G214" s="37"/>
      <c r="H214" s="37"/>
    </row>
    <row r="215" spans="3:8" x14ac:dyDescent="0.25">
      <c r="C215" s="27"/>
      <c r="D215" s="27"/>
      <c r="E215" s="27"/>
      <c r="F215" s="27"/>
      <c r="G215" s="37"/>
      <c r="H215" s="37"/>
    </row>
    <row r="216" spans="3:8" x14ac:dyDescent="0.25">
      <c r="C216" s="27"/>
      <c r="D216" s="27"/>
      <c r="E216" s="27"/>
      <c r="F216" s="27"/>
      <c r="G216" s="37"/>
      <c r="H216" s="37"/>
    </row>
    <row r="217" spans="3:8" x14ac:dyDescent="0.25">
      <c r="C217" s="27"/>
      <c r="D217" s="27"/>
      <c r="E217" s="27"/>
      <c r="F217" s="27"/>
      <c r="G217" s="37"/>
      <c r="H217" s="37"/>
    </row>
    <row r="218" spans="3:8" x14ac:dyDescent="0.25">
      <c r="D218" s="37"/>
      <c r="G218" s="37"/>
      <c r="H218" s="37"/>
    </row>
    <row r="219" spans="3:8" x14ac:dyDescent="0.25">
      <c r="D219" s="37"/>
      <c r="G219" s="37"/>
      <c r="H219" s="37"/>
    </row>
    <row r="220" spans="3:8" x14ac:dyDescent="0.25">
      <c r="D220" s="37"/>
      <c r="G220" s="37"/>
      <c r="H220" s="37"/>
    </row>
    <row r="221" spans="3:8" x14ac:dyDescent="0.25">
      <c r="D221" s="37"/>
      <c r="G221" s="37"/>
      <c r="H221" s="37"/>
    </row>
    <row r="222" spans="3:8" x14ac:dyDescent="0.25">
      <c r="D222" s="37"/>
      <c r="G222" s="37"/>
      <c r="H222" s="37"/>
    </row>
    <row r="223" spans="3:8" x14ac:dyDescent="0.25">
      <c r="D223" s="37"/>
      <c r="G223" s="37"/>
      <c r="H223" s="37"/>
    </row>
    <row r="224" spans="3:8" x14ac:dyDescent="0.25">
      <c r="D224" s="37"/>
      <c r="G224" s="37"/>
      <c r="H224" s="37"/>
    </row>
    <row r="225" spans="4:8" x14ac:dyDescent="0.25">
      <c r="D225" s="37"/>
      <c r="G225" s="37"/>
      <c r="H225" s="37"/>
    </row>
    <row r="226" spans="4:8" x14ac:dyDescent="0.25">
      <c r="D226" s="37"/>
      <c r="G226" s="37"/>
      <c r="H226" s="37"/>
    </row>
    <row r="227" spans="4:8" x14ac:dyDescent="0.25">
      <c r="D227" s="37"/>
      <c r="G227" s="37"/>
      <c r="H227" s="37"/>
    </row>
    <row r="228" spans="4:8" x14ac:dyDescent="0.25">
      <c r="D228" s="37"/>
      <c r="G228" s="37"/>
      <c r="H228" s="37"/>
    </row>
    <row r="229" spans="4:8" x14ac:dyDescent="0.25">
      <c r="D229" s="37"/>
      <c r="G229" s="37"/>
      <c r="H229" s="37"/>
    </row>
    <row r="230" spans="4:8" x14ac:dyDescent="0.25">
      <c r="D230" s="37"/>
      <c r="G230" s="37"/>
      <c r="H230" s="37"/>
    </row>
    <row r="231" spans="4:8" x14ac:dyDescent="0.25">
      <c r="D231" s="37"/>
      <c r="G231" s="37"/>
      <c r="H231" s="37"/>
    </row>
    <row r="232" spans="4:8" x14ac:dyDescent="0.25">
      <c r="D232" s="37"/>
      <c r="G232" s="37"/>
      <c r="H232" s="37"/>
    </row>
    <row r="233" spans="4:8" x14ac:dyDescent="0.25">
      <c r="D233" s="37"/>
      <c r="G233" s="37"/>
      <c r="H233" s="37"/>
    </row>
    <row r="234" spans="4:8" x14ac:dyDescent="0.25">
      <c r="D234" s="37"/>
      <c r="G234" s="37"/>
      <c r="H234" s="37"/>
    </row>
  </sheetData>
  <pageMargins left="0.25" right="0.25" top="0.75" bottom="0.75" header="0.3" footer="0.3"/>
  <pageSetup scale="46" orientation="portrait" r:id="rId1"/>
  <colBreaks count="2" manualBreakCount="2">
    <brk id="6" max="1048575" man="1"/>
    <brk id="20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3"/>
  <sheetViews>
    <sheetView topLeftCell="A127" zoomScaleNormal="100" zoomScaleSheetLayoutView="50" workbookViewId="0">
      <selection activeCell="I194" sqref="I194"/>
    </sheetView>
  </sheetViews>
  <sheetFormatPr defaultRowHeight="15" x14ac:dyDescent="0.25"/>
  <cols>
    <col min="1" max="1" width="14.5703125" customWidth="1"/>
    <col min="2" max="2" width="14.5703125" style="186" customWidth="1"/>
    <col min="3" max="3" width="11.28515625" bestFit="1" customWidth="1"/>
    <col min="4" max="4" width="10.7109375" style="37" customWidth="1"/>
    <col min="5" max="5" width="10" style="37" customWidth="1"/>
    <col min="6" max="6" width="11.7109375" style="37" customWidth="1"/>
    <col min="7" max="7" width="10.7109375" style="37" customWidth="1"/>
    <col min="8" max="8" width="11" style="37" customWidth="1"/>
    <col min="10" max="10" width="12" customWidth="1"/>
    <col min="11" max="11" width="11.85546875" customWidth="1"/>
    <col min="13" max="13" width="10.7109375" customWidth="1"/>
    <col min="14" max="14" width="9.7109375" customWidth="1"/>
    <col min="16" max="16" width="10.140625" customWidth="1"/>
    <col min="17" max="17" width="11" customWidth="1"/>
    <col min="20" max="20" width="13.28515625" customWidth="1"/>
    <col min="21" max="21" width="15" style="32" customWidth="1"/>
    <col min="22" max="22" width="9.140625" style="32"/>
  </cols>
  <sheetData>
    <row r="1" spans="1:22" ht="60" x14ac:dyDescent="0.25">
      <c r="A1" s="47" t="s">
        <v>57</v>
      </c>
      <c r="B1" s="10" t="s">
        <v>509</v>
      </c>
      <c r="C1" s="5" t="s">
        <v>506</v>
      </c>
      <c r="D1" s="37" t="s">
        <v>507</v>
      </c>
      <c r="E1" s="37" t="s">
        <v>505</v>
      </c>
      <c r="F1" s="22" t="s">
        <v>508</v>
      </c>
      <c r="G1" s="22" t="s">
        <v>527</v>
      </c>
      <c r="T1" s="47" t="s">
        <v>57</v>
      </c>
      <c r="U1" s="224" t="s">
        <v>513</v>
      </c>
      <c r="V1" s="224" t="s">
        <v>514</v>
      </c>
    </row>
    <row r="2" spans="1:22" hidden="1" x14ac:dyDescent="0.25">
      <c r="A2" s="1">
        <v>40909</v>
      </c>
      <c r="B2" s="1"/>
      <c r="C2" s="32">
        <v>300</v>
      </c>
      <c r="D2" s="38">
        <v>632</v>
      </c>
      <c r="E2" s="38"/>
      <c r="F2" s="37">
        <v>244</v>
      </c>
      <c r="G2" s="19">
        <f>+F2/D2</f>
        <v>0.38607594936708861</v>
      </c>
      <c r="H2" s="19"/>
      <c r="T2" s="1">
        <v>40909</v>
      </c>
    </row>
    <row r="3" spans="1:22" hidden="1" x14ac:dyDescent="0.25">
      <c r="A3" s="1">
        <v>40940</v>
      </c>
      <c r="B3" s="1"/>
      <c r="C3" s="32">
        <v>300</v>
      </c>
      <c r="D3" s="38">
        <v>641</v>
      </c>
      <c r="E3" s="38"/>
      <c r="F3" s="39">
        <v>197</v>
      </c>
      <c r="G3" s="19">
        <f t="shared" ref="G3:G12" si="0">+F3/D3</f>
        <v>0.30733229329173167</v>
      </c>
      <c r="H3" s="19"/>
      <c r="T3" s="1">
        <v>40940</v>
      </c>
    </row>
    <row r="4" spans="1:22" hidden="1" x14ac:dyDescent="0.25">
      <c r="A4" s="1">
        <v>40969</v>
      </c>
      <c r="B4" s="1"/>
      <c r="C4" s="32">
        <v>300</v>
      </c>
      <c r="D4" s="38">
        <v>653</v>
      </c>
      <c r="E4" s="38"/>
      <c r="F4" s="39">
        <v>248</v>
      </c>
      <c r="G4" s="19">
        <f t="shared" si="0"/>
        <v>0.37978560490045943</v>
      </c>
      <c r="H4" s="19"/>
      <c r="T4" s="1">
        <v>40969</v>
      </c>
    </row>
    <row r="5" spans="1:22" hidden="1" x14ac:dyDescent="0.25">
      <c r="A5" s="1">
        <v>41000</v>
      </c>
      <c r="B5" s="1"/>
      <c r="C5" s="32">
        <v>300</v>
      </c>
      <c r="D5" s="38">
        <v>541</v>
      </c>
      <c r="E5" s="38"/>
      <c r="F5" s="39">
        <v>173</v>
      </c>
      <c r="G5" s="19">
        <f t="shared" si="0"/>
        <v>0.31977818853974121</v>
      </c>
      <c r="H5" s="19"/>
      <c r="T5" s="1">
        <v>41000</v>
      </c>
    </row>
    <row r="6" spans="1:22" hidden="1" x14ac:dyDescent="0.25">
      <c r="A6" s="1">
        <v>41030</v>
      </c>
      <c r="B6" s="1"/>
      <c r="C6" s="32">
        <v>300</v>
      </c>
      <c r="D6" s="38">
        <v>437</v>
      </c>
      <c r="E6" s="38"/>
      <c r="F6" s="39">
        <v>298</v>
      </c>
      <c r="G6" s="19">
        <f t="shared" si="0"/>
        <v>0.6819221967963387</v>
      </c>
      <c r="H6" s="19"/>
      <c r="T6" s="1">
        <v>41030</v>
      </c>
    </row>
    <row r="7" spans="1:22" hidden="1" x14ac:dyDescent="0.25">
      <c r="A7" s="1">
        <v>41061</v>
      </c>
      <c r="B7" s="1"/>
      <c r="C7" s="32">
        <v>300</v>
      </c>
      <c r="D7" s="38">
        <v>559</v>
      </c>
      <c r="E7" s="38"/>
      <c r="F7" s="39">
        <v>205</v>
      </c>
      <c r="G7" s="19">
        <f t="shared" si="0"/>
        <v>0.36672629695885511</v>
      </c>
      <c r="H7" s="19"/>
      <c r="T7" s="1">
        <v>41061</v>
      </c>
    </row>
    <row r="8" spans="1:22" hidden="1" x14ac:dyDescent="0.25">
      <c r="A8" s="1">
        <v>41091</v>
      </c>
      <c r="B8" s="1"/>
      <c r="C8" s="32">
        <v>300</v>
      </c>
      <c r="D8" s="38">
        <v>640</v>
      </c>
      <c r="E8" s="38"/>
      <c r="F8" s="39">
        <v>241</v>
      </c>
      <c r="G8" s="19">
        <f t="shared" si="0"/>
        <v>0.37656250000000002</v>
      </c>
      <c r="H8" s="19"/>
      <c r="T8" s="1">
        <v>41091</v>
      </c>
    </row>
    <row r="9" spans="1:22" hidden="1" x14ac:dyDescent="0.25">
      <c r="A9" s="1">
        <v>41122</v>
      </c>
      <c r="B9" s="1"/>
      <c r="C9" s="32">
        <v>300</v>
      </c>
      <c r="D9" s="38">
        <v>722</v>
      </c>
      <c r="E9" s="38"/>
      <c r="F9" s="39">
        <v>348</v>
      </c>
      <c r="G9" s="19">
        <f t="shared" si="0"/>
        <v>0.48199445983379502</v>
      </c>
      <c r="H9" s="19"/>
      <c r="T9" s="1">
        <v>41122</v>
      </c>
    </row>
    <row r="10" spans="1:22" hidden="1" x14ac:dyDescent="0.25">
      <c r="A10" s="1">
        <v>41153</v>
      </c>
      <c r="B10" s="1"/>
      <c r="C10" s="32">
        <v>300</v>
      </c>
      <c r="D10" s="38">
        <v>569</v>
      </c>
      <c r="E10" s="38"/>
      <c r="F10" s="39">
        <v>259</v>
      </c>
      <c r="G10" s="19">
        <f t="shared" si="0"/>
        <v>0.45518453427065025</v>
      </c>
      <c r="H10" s="19"/>
      <c r="T10" s="1">
        <v>41153</v>
      </c>
    </row>
    <row r="11" spans="1:22" hidden="1" x14ac:dyDescent="0.25">
      <c r="A11" s="1">
        <v>41183</v>
      </c>
      <c r="B11" s="1"/>
      <c r="C11" s="32">
        <v>300</v>
      </c>
      <c r="D11" s="38">
        <v>402</v>
      </c>
      <c r="E11" s="38"/>
      <c r="F11" s="39">
        <v>106</v>
      </c>
      <c r="G11" s="19">
        <f t="shared" si="0"/>
        <v>0.26368159203980102</v>
      </c>
      <c r="H11" s="19"/>
      <c r="T11" s="1">
        <v>41183</v>
      </c>
    </row>
    <row r="12" spans="1:22" hidden="1" x14ac:dyDescent="0.25">
      <c r="A12" s="1">
        <v>41214</v>
      </c>
      <c r="B12" s="1"/>
      <c r="C12" s="32">
        <v>300</v>
      </c>
      <c r="D12" s="38">
        <v>451</v>
      </c>
      <c r="E12" s="38"/>
      <c r="F12" s="39">
        <v>111</v>
      </c>
      <c r="G12" s="19">
        <f t="shared" si="0"/>
        <v>0.24611973392461198</v>
      </c>
      <c r="H12" s="19"/>
      <c r="T12" s="1">
        <v>41214</v>
      </c>
    </row>
    <row r="13" spans="1:22" hidden="1" x14ac:dyDescent="0.25">
      <c r="A13" s="1">
        <v>41244</v>
      </c>
      <c r="B13" s="1"/>
      <c r="C13" s="32">
        <v>300</v>
      </c>
      <c r="D13" s="38">
        <v>341</v>
      </c>
      <c r="E13" s="38"/>
      <c r="F13" s="39">
        <v>133</v>
      </c>
      <c r="G13" s="19">
        <f t="shared" ref="G13:G36" si="1">+F13/D13</f>
        <v>0.39002932551319647</v>
      </c>
      <c r="H13" s="19"/>
      <c r="T13" s="1">
        <v>41244</v>
      </c>
    </row>
    <row r="14" spans="1:22" hidden="1" x14ac:dyDescent="0.25">
      <c r="A14" s="1">
        <v>41275</v>
      </c>
      <c r="B14" s="1"/>
      <c r="C14" s="32">
        <v>300</v>
      </c>
      <c r="D14" s="38">
        <v>545</v>
      </c>
      <c r="E14" s="38"/>
      <c r="F14" s="39">
        <v>123</v>
      </c>
      <c r="G14" s="19">
        <f t="shared" si="1"/>
        <v>0.22568807339449543</v>
      </c>
      <c r="T14" s="1">
        <v>41275</v>
      </c>
    </row>
    <row r="15" spans="1:22" hidden="1" x14ac:dyDescent="0.25">
      <c r="A15" s="1">
        <v>41306</v>
      </c>
      <c r="B15" s="1"/>
      <c r="C15" s="32">
        <v>300</v>
      </c>
      <c r="D15" s="37">
        <v>460</v>
      </c>
      <c r="F15" s="37">
        <v>107</v>
      </c>
      <c r="G15" s="19">
        <f t="shared" si="1"/>
        <v>0.2326086956521739</v>
      </c>
      <c r="T15" s="1">
        <v>41306</v>
      </c>
    </row>
    <row r="16" spans="1:22" hidden="1" x14ac:dyDescent="0.25">
      <c r="A16" s="1">
        <v>41334</v>
      </c>
      <c r="B16" s="1"/>
      <c r="C16" s="32">
        <v>300</v>
      </c>
      <c r="D16" s="37">
        <v>468</v>
      </c>
      <c r="F16" s="37">
        <v>87</v>
      </c>
      <c r="G16" s="19">
        <f t="shared" si="1"/>
        <v>0.1858974358974359</v>
      </c>
      <c r="T16" s="1">
        <v>41334</v>
      </c>
    </row>
    <row r="17" spans="1:22" hidden="1" x14ac:dyDescent="0.25">
      <c r="A17" s="1">
        <v>41365</v>
      </c>
      <c r="B17" s="1"/>
      <c r="C17" s="32">
        <v>300</v>
      </c>
      <c r="D17" s="37">
        <v>388</v>
      </c>
      <c r="F17" s="37">
        <v>86</v>
      </c>
      <c r="G17" s="19">
        <f t="shared" si="1"/>
        <v>0.22164948453608246</v>
      </c>
      <c r="T17" s="1">
        <v>41365</v>
      </c>
    </row>
    <row r="18" spans="1:22" hidden="1" x14ac:dyDescent="0.25">
      <c r="A18" s="1">
        <v>41395</v>
      </c>
      <c r="B18" s="1"/>
      <c r="C18" s="32">
        <v>300</v>
      </c>
      <c r="D18" s="37">
        <v>410</v>
      </c>
      <c r="F18" s="37">
        <v>58</v>
      </c>
      <c r="G18" s="19">
        <f t="shared" si="1"/>
        <v>0.14146341463414633</v>
      </c>
      <c r="T18" s="1">
        <v>41395</v>
      </c>
    </row>
    <row r="19" spans="1:22" hidden="1" x14ac:dyDescent="0.25">
      <c r="A19" s="1">
        <v>41426</v>
      </c>
      <c r="B19" s="1"/>
      <c r="C19" s="32">
        <v>300</v>
      </c>
      <c r="D19" s="37">
        <v>453</v>
      </c>
      <c r="F19" s="37">
        <v>86</v>
      </c>
      <c r="G19" s="19">
        <f t="shared" si="1"/>
        <v>0.18984547461368653</v>
      </c>
      <c r="T19" s="1">
        <v>41426</v>
      </c>
    </row>
    <row r="20" spans="1:22" hidden="1" x14ac:dyDescent="0.25">
      <c r="A20" s="1">
        <v>41456</v>
      </c>
      <c r="B20" s="186">
        <v>1021</v>
      </c>
      <c r="C20" s="32">
        <v>300</v>
      </c>
      <c r="D20" s="37">
        <v>384</v>
      </c>
      <c r="E20" s="37">
        <v>1077</v>
      </c>
      <c r="F20" s="37">
        <v>72</v>
      </c>
      <c r="G20" s="19">
        <f t="shared" si="1"/>
        <v>0.1875</v>
      </c>
      <c r="T20" s="1">
        <v>41456</v>
      </c>
    </row>
    <row r="21" spans="1:22" hidden="1" x14ac:dyDescent="0.25">
      <c r="A21" s="1">
        <v>41487</v>
      </c>
      <c r="B21" s="186">
        <v>1009</v>
      </c>
      <c r="C21" s="32">
        <v>300</v>
      </c>
      <c r="D21" s="37">
        <v>350</v>
      </c>
      <c r="E21" s="37">
        <v>1031</v>
      </c>
      <c r="F21" s="37">
        <v>60</v>
      </c>
      <c r="G21" s="19">
        <f t="shared" si="1"/>
        <v>0.17142857142857143</v>
      </c>
      <c r="T21" s="1">
        <v>41487</v>
      </c>
    </row>
    <row r="22" spans="1:22" hidden="1" x14ac:dyDescent="0.25">
      <c r="A22" s="1">
        <v>41518</v>
      </c>
      <c r="B22" s="186">
        <v>948</v>
      </c>
      <c r="C22" s="32">
        <v>300</v>
      </c>
      <c r="D22" s="37">
        <v>356</v>
      </c>
      <c r="E22" s="37">
        <v>942</v>
      </c>
      <c r="F22" s="37">
        <v>79</v>
      </c>
      <c r="G22" s="19">
        <f t="shared" si="1"/>
        <v>0.22191011235955055</v>
      </c>
      <c r="T22" s="1">
        <v>41518</v>
      </c>
    </row>
    <row r="23" spans="1:22" hidden="1" x14ac:dyDescent="0.25">
      <c r="A23" s="1">
        <v>41548</v>
      </c>
      <c r="B23" s="186">
        <v>1150</v>
      </c>
      <c r="C23" s="32">
        <v>300</v>
      </c>
      <c r="D23" s="37">
        <v>469</v>
      </c>
      <c r="E23" s="37">
        <v>1107</v>
      </c>
      <c r="F23" s="37">
        <v>78</v>
      </c>
      <c r="G23" s="19">
        <f t="shared" si="1"/>
        <v>0.16631130063965885</v>
      </c>
      <c r="T23" s="1">
        <v>41548</v>
      </c>
    </row>
    <row r="24" spans="1:22" hidden="1" x14ac:dyDescent="0.25">
      <c r="A24" s="1">
        <v>41579</v>
      </c>
      <c r="B24" s="186">
        <v>1039</v>
      </c>
      <c r="C24" s="32">
        <v>300</v>
      </c>
      <c r="D24" s="37">
        <v>472</v>
      </c>
      <c r="E24" s="37">
        <v>972</v>
      </c>
      <c r="F24" s="37">
        <v>101</v>
      </c>
      <c r="G24" s="19">
        <f t="shared" si="1"/>
        <v>0.21398305084745764</v>
      </c>
      <c r="T24" s="1">
        <v>41579</v>
      </c>
      <c r="U24" s="32">
        <f>SUM(B20:B24)/5</f>
        <v>1033.4000000000001</v>
      </c>
      <c r="V24" s="32">
        <f>SUM(E20:E24)/5</f>
        <v>1025.8</v>
      </c>
    </row>
    <row r="25" spans="1:22" hidden="1" x14ac:dyDescent="0.25">
      <c r="A25" s="1">
        <v>41609</v>
      </c>
      <c r="B25" s="186">
        <v>897</v>
      </c>
      <c r="C25" s="32">
        <v>300</v>
      </c>
      <c r="D25" s="37">
        <v>350</v>
      </c>
      <c r="E25" s="37">
        <v>981</v>
      </c>
      <c r="F25" s="37">
        <v>148</v>
      </c>
      <c r="G25" s="19">
        <f t="shared" si="1"/>
        <v>0.42285714285714288</v>
      </c>
      <c r="T25" s="1">
        <v>41609</v>
      </c>
      <c r="U25" s="32">
        <f>SUM(B21:B25)/5</f>
        <v>1008.6</v>
      </c>
      <c r="V25" s="32">
        <f t="shared" ref="V25:V41" si="2">SUM(E21:E25)/5</f>
        <v>1006.6</v>
      </c>
    </row>
    <row r="26" spans="1:22" hidden="1" x14ac:dyDescent="0.25">
      <c r="A26" s="1">
        <v>41640</v>
      </c>
      <c r="B26" s="186">
        <v>1163</v>
      </c>
      <c r="C26" s="32">
        <v>300</v>
      </c>
      <c r="D26" s="37">
        <v>593</v>
      </c>
      <c r="E26" s="37">
        <v>1047</v>
      </c>
      <c r="F26" s="37">
        <v>164</v>
      </c>
      <c r="G26" s="19">
        <f t="shared" si="1"/>
        <v>0.27655986509274871</v>
      </c>
      <c r="T26" s="1">
        <v>41640</v>
      </c>
      <c r="U26" s="32">
        <f>SUM(B22:B26)/5</f>
        <v>1039.4000000000001</v>
      </c>
      <c r="V26" s="32">
        <f t="shared" si="2"/>
        <v>1009.8</v>
      </c>
    </row>
    <row r="27" spans="1:22" hidden="1" x14ac:dyDescent="0.25">
      <c r="A27" s="1">
        <v>41671</v>
      </c>
      <c r="B27" s="186">
        <v>1050</v>
      </c>
      <c r="C27" s="32">
        <v>300</v>
      </c>
      <c r="D27" s="37">
        <v>637</v>
      </c>
      <c r="E27" s="37">
        <v>995</v>
      </c>
      <c r="F27" s="37">
        <v>216</v>
      </c>
      <c r="G27" s="19">
        <f t="shared" si="1"/>
        <v>0.3390894819466248</v>
      </c>
      <c r="T27" s="1">
        <v>41671</v>
      </c>
      <c r="U27" s="32">
        <f t="shared" ref="U27:U41" si="3">SUM(B23:B27)/5</f>
        <v>1059.8</v>
      </c>
      <c r="V27" s="32">
        <f t="shared" si="2"/>
        <v>1020.4</v>
      </c>
    </row>
    <row r="28" spans="1:22" hidden="1" x14ac:dyDescent="0.25">
      <c r="A28" s="1">
        <v>41699</v>
      </c>
      <c r="B28" s="186">
        <v>1121</v>
      </c>
      <c r="C28" s="32">
        <v>300</v>
      </c>
      <c r="D28" s="37">
        <v>580</v>
      </c>
      <c r="E28" s="37">
        <v>1142</v>
      </c>
      <c r="F28" s="37">
        <v>231</v>
      </c>
      <c r="G28" s="19">
        <f t="shared" si="1"/>
        <v>0.39827586206896554</v>
      </c>
      <c r="T28" s="1">
        <v>41699</v>
      </c>
      <c r="U28" s="32">
        <f t="shared" si="3"/>
        <v>1054</v>
      </c>
      <c r="V28" s="32">
        <f t="shared" si="2"/>
        <v>1027.4000000000001</v>
      </c>
    </row>
    <row r="29" spans="1:22" hidden="1" x14ac:dyDescent="0.25">
      <c r="A29" s="1">
        <v>41730</v>
      </c>
      <c r="B29" s="186">
        <v>1163</v>
      </c>
      <c r="C29" s="32">
        <v>300</v>
      </c>
      <c r="D29" s="37">
        <v>621</v>
      </c>
      <c r="E29" s="37">
        <v>1175</v>
      </c>
      <c r="F29" s="37">
        <v>244</v>
      </c>
      <c r="G29" s="19">
        <f t="shared" si="1"/>
        <v>0.39291465378421903</v>
      </c>
      <c r="T29" s="1">
        <v>41730</v>
      </c>
      <c r="U29" s="32">
        <f t="shared" si="3"/>
        <v>1078.8</v>
      </c>
      <c r="V29" s="32">
        <f t="shared" si="2"/>
        <v>1068</v>
      </c>
    </row>
    <row r="30" spans="1:22" hidden="1" x14ac:dyDescent="0.25">
      <c r="A30" s="1">
        <v>41760</v>
      </c>
      <c r="B30" s="186">
        <v>1096</v>
      </c>
      <c r="C30" s="32">
        <v>300</v>
      </c>
      <c r="D30" s="37">
        <v>501</v>
      </c>
      <c r="E30" s="37">
        <v>1142</v>
      </c>
      <c r="F30" s="37">
        <v>181</v>
      </c>
      <c r="G30" s="19">
        <f t="shared" si="1"/>
        <v>0.36127744510978044</v>
      </c>
      <c r="T30" s="1">
        <v>41760</v>
      </c>
      <c r="U30" s="32">
        <f t="shared" si="3"/>
        <v>1118.5999999999999</v>
      </c>
      <c r="V30" s="32">
        <f t="shared" si="2"/>
        <v>1100.2</v>
      </c>
    </row>
    <row r="31" spans="1:22" hidden="1" x14ac:dyDescent="0.25">
      <c r="A31" s="1">
        <v>41791</v>
      </c>
      <c r="B31" s="186">
        <v>1075</v>
      </c>
      <c r="C31" s="32">
        <v>300</v>
      </c>
      <c r="D31" s="37">
        <v>480</v>
      </c>
      <c r="E31" s="37">
        <v>1059</v>
      </c>
      <c r="F31" s="37">
        <v>169</v>
      </c>
      <c r="G31" s="19">
        <f t="shared" si="1"/>
        <v>0.35208333333333336</v>
      </c>
      <c r="T31" s="1">
        <v>41791</v>
      </c>
      <c r="U31" s="32">
        <f t="shared" si="3"/>
        <v>1101</v>
      </c>
      <c r="V31" s="32">
        <f t="shared" si="2"/>
        <v>1102.5999999999999</v>
      </c>
    </row>
    <row r="32" spans="1:22" hidden="1" x14ac:dyDescent="0.25">
      <c r="A32" s="1">
        <v>41821</v>
      </c>
      <c r="B32" s="186">
        <v>959</v>
      </c>
      <c r="C32" s="32">
        <v>300</v>
      </c>
      <c r="D32" s="37">
        <v>573</v>
      </c>
      <c r="E32" s="37">
        <v>884</v>
      </c>
      <c r="F32" s="37">
        <v>257</v>
      </c>
      <c r="G32" s="19">
        <f t="shared" si="1"/>
        <v>0.44851657940663175</v>
      </c>
      <c r="T32" s="1">
        <v>41821</v>
      </c>
      <c r="U32" s="32">
        <f t="shared" si="3"/>
        <v>1082.8</v>
      </c>
      <c r="V32" s="32">
        <f t="shared" si="2"/>
        <v>1080.4000000000001</v>
      </c>
    </row>
    <row r="33" spans="1:22" hidden="1" x14ac:dyDescent="0.25">
      <c r="A33" s="1">
        <v>41852</v>
      </c>
      <c r="B33" s="186">
        <v>1131</v>
      </c>
      <c r="C33" s="32">
        <v>300</v>
      </c>
      <c r="D33" s="37">
        <v>682</v>
      </c>
      <c r="E33" s="37">
        <v>1035</v>
      </c>
      <c r="F33" s="37">
        <v>309</v>
      </c>
      <c r="G33" s="19">
        <f t="shared" si="1"/>
        <v>0.45307917888563048</v>
      </c>
      <c r="T33" s="1">
        <v>41852</v>
      </c>
      <c r="U33" s="32">
        <f t="shared" si="3"/>
        <v>1084.8</v>
      </c>
      <c r="V33" s="32">
        <f t="shared" si="2"/>
        <v>1059</v>
      </c>
    </row>
    <row r="34" spans="1:22" s="186" customFormat="1" hidden="1" x14ac:dyDescent="0.25">
      <c r="A34" s="1">
        <v>41883</v>
      </c>
      <c r="B34" s="186">
        <v>1188</v>
      </c>
      <c r="C34" s="32">
        <v>300</v>
      </c>
      <c r="D34" s="187">
        <v>748</v>
      </c>
      <c r="E34" s="187">
        <v>1096</v>
      </c>
      <c r="F34" s="187">
        <v>363</v>
      </c>
      <c r="G34" s="19">
        <f t="shared" si="1"/>
        <v>0.48529411764705882</v>
      </c>
      <c r="H34" s="187"/>
      <c r="T34" s="1">
        <v>41883</v>
      </c>
      <c r="U34" s="32">
        <f t="shared" si="3"/>
        <v>1089.8</v>
      </c>
      <c r="V34" s="32">
        <f t="shared" si="2"/>
        <v>1043.2</v>
      </c>
    </row>
    <row r="35" spans="1:22" s="186" customFormat="1" hidden="1" x14ac:dyDescent="0.25">
      <c r="A35" s="1">
        <v>41913</v>
      </c>
      <c r="B35" s="186">
        <v>1255</v>
      </c>
      <c r="C35" s="32">
        <v>300</v>
      </c>
      <c r="D35" s="187">
        <v>722</v>
      </c>
      <c r="E35" s="187">
        <v>1245</v>
      </c>
      <c r="F35" s="187">
        <v>341</v>
      </c>
      <c r="G35" s="19">
        <f t="shared" si="1"/>
        <v>0.47229916897506924</v>
      </c>
      <c r="H35" s="187"/>
      <c r="T35" s="1">
        <v>41913</v>
      </c>
      <c r="U35" s="32">
        <f t="shared" si="3"/>
        <v>1121.5999999999999</v>
      </c>
      <c r="V35" s="32">
        <f t="shared" si="2"/>
        <v>1063.8</v>
      </c>
    </row>
    <row r="36" spans="1:22" s="186" customFormat="1" hidden="1" x14ac:dyDescent="0.25">
      <c r="A36" s="1">
        <v>41944</v>
      </c>
      <c r="B36" s="2">
        <v>913</v>
      </c>
      <c r="C36" s="211">
        <v>300</v>
      </c>
      <c r="D36" s="187">
        <v>768</v>
      </c>
      <c r="E36" s="187">
        <v>812</v>
      </c>
      <c r="F36" s="187">
        <v>409</v>
      </c>
      <c r="G36" s="19">
        <f t="shared" si="1"/>
        <v>0.53255208333333337</v>
      </c>
      <c r="H36" s="187"/>
      <c r="T36" s="1">
        <v>41944</v>
      </c>
      <c r="U36" s="32">
        <f t="shared" si="3"/>
        <v>1089.2</v>
      </c>
      <c r="V36" s="32">
        <f t="shared" si="2"/>
        <v>1014.4</v>
      </c>
    </row>
    <row r="37" spans="1:22" hidden="1" x14ac:dyDescent="0.25">
      <c r="A37" s="1">
        <v>41974</v>
      </c>
      <c r="B37" s="2">
        <v>808</v>
      </c>
      <c r="C37" s="211">
        <v>300</v>
      </c>
      <c r="D37" s="215">
        <v>700</v>
      </c>
      <c r="E37" s="215">
        <v>834</v>
      </c>
      <c r="F37" s="63">
        <v>473</v>
      </c>
      <c r="H37" s="19">
        <f t="shared" ref="H37:H57" si="4">+F37/D37</f>
        <v>0.67571428571428571</v>
      </c>
      <c r="I37" s="10"/>
      <c r="J37" s="44"/>
      <c r="K37" s="44"/>
      <c r="L37" s="10"/>
      <c r="M37" s="44"/>
      <c r="N37" s="44"/>
      <c r="O37" s="10"/>
      <c r="P37" s="45"/>
      <c r="Q37" s="45"/>
      <c r="R37" s="10"/>
      <c r="T37" s="1">
        <v>41974</v>
      </c>
      <c r="U37" s="32">
        <f t="shared" si="3"/>
        <v>1059</v>
      </c>
      <c r="V37" s="32">
        <f t="shared" si="2"/>
        <v>1004.4</v>
      </c>
    </row>
    <row r="38" spans="1:22" s="186" customFormat="1" hidden="1" x14ac:dyDescent="0.25">
      <c r="A38" s="1">
        <v>42005</v>
      </c>
      <c r="B38" s="2">
        <v>963</v>
      </c>
      <c r="C38" s="211">
        <v>300</v>
      </c>
      <c r="D38" s="215">
        <v>789</v>
      </c>
      <c r="E38" s="215">
        <v>829</v>
      </c>
      <c r="F38" s="63">
        <v>389</v>
      </c>
      <c r="H38" s="19">
        <f t="shared" si="4"/>
        <v>0.49302915082382764</v>
      </c>
      <c r="I38" s="10"/>
      <c r="J38" s="182"/>
      <c r="K38" s="182"/>
      <c r="L38" s="10"/>
      <c r="M38" s="182"/>
      <c r="N38" s="182"/>
      <c r="O38" s="10"/>
      <c r="P38" s="45"/>
      <c r="Q38" s="45"/>
      <c r="R38" s="10"/>
      <c r="T38" s="1">
        <v>42005</v>
      </c>
      <c r="U38" s="32">
        <f t="shared" si="3"/>
        <v>1025.4000000000001</v>
      </c>
      <c r="V38" s="32">
        <f t="shared" si="2"/>
        <v>963.2</v>
      </c>
    </row>
    <row r="39" spans="1:22" s="186" customFormat="1" hidden="1" x14ac:dyDescent="0.25">
      <c r="A39" s="216">
        <v>42036</v>
      </c>
      <c r="B39" s="217">
        <v>1009</v>
      </c>
      <c r="C39" s="218">
        <v>300</v>
      </c>
      <c r="D39" s="219">
        <v>908</v>
      </c>
      <c r="E39" s="219">
        <v>861</v>
      </c>
      <c r="F39" s="220">
        <v>446</v>
      </c>
      <c r="H39" s="221">
        <f t="shared" si="4"/>
        <v>0.49118942731277532</v>
      </c>
      <c r="I39" s="10"/>
      <c r="J39" s="182"/>
      <c r="K39" s="182"/>
      <c r="L39" s="10"/>
      <c r="M39" s="182"/>
      <c r="N39" s="182"/>
      <c r="O39" s="10"/>
      <c r="P39" s="45"/>
      <c r="Q39" s="45"/>
      <c r="R39" s="10"/>
      <c r="T39" s="216">
        <v>42036</v>
      </c>
      <c r="U39" s="32">
        <f t="shared" si="3"/>
        <v>989.6</v>
      </c>
      <c r="V39" s="32">
        <f t="shared" si="2"/>
        <v>916.2</v>
      </c>
    </row>
    <row r="40" spans="1:22" s="186" customFormat="1" hidden="1" x14ac:dyDescent="0.25">
      <c r="A40" s="216">
        <v>42064</v>
      </c>
      <c r="B40" s="217">
        <v>1048</v>
      </c>
      <c r="C40" s="218">
        <v>300</v>
      </c>
      <c r="D40" s="219">
        <v>823</v>
      </c>
      <c r="E40" s="219">
        <v>909</v>
      </c>
      <c r="F40" s="220">
        <v>437</v>
      </c>
      <c r="H40" s="221">
        <f t="shared" si="4"/>
        <v>0.53098420413122727</v>
      </c>
      <c r="I40" s="10"/>
      <c r="J40" s="182"/>
      <c r="K40" s="182"/>
      <c r="L40" s="10"/>
      <c r="M40" s="182"/>
      <c r="N40" s="182"/>
      <c r="O40" s="10"/>
      <c r="P40" s="45"/>
      <c r="Q40" s="45"/>
      <c r="R40" s="10"/>
      <c r="T40" s="216">
        <v>42064</v>
      </c>
      <c r="U40" s="32">
        <f t="shared" si="3"/>
        <v>948.2</v>
      </c>
      <c r="V40" s="32">
        <f t="shared" si="2"/>
        <v>849</v>
      </c>
    </row>
    <row r="41" spans="1:22" s="186" customFormat="1" hidden="1" x14ac:dyDescent="0.25">
      <c r="A41" s="216">
        <v>42095</v>
      </c>
      <c r="B41" s="217">
        <v>993</v>
      </c>
      <c r="C41" s="218">
        <v>300</v>
      </c>
      <c r="D41" s="219">
        <v>776</v>
      </c>
      <c r="E41" s="219">
        <v>985</v>
      </c>
      <c r="F41" s="220">
        <v>433</v>
      </c>
      <c r="H41" s="221">
        <f t="shared" si="4"/>
        <v>0.5579896907216495</v>
      </c>
      <c r="I41" s="10"/>
      <c r="J41" s="182"/>
      <c r="K41" s="182"/>
      <c r="L41" s="10"/>
      <c r="M41" s="182"/>
      <c r="N41" s="182"/>
      <c r="O41" s="10"/>
      <c r="P41" s="45"/>
      <c r="Q41" s="45"/>
      <c r="R41" s="10"/>
      <c r="T41" s="216">
        <v>42095</v>
      </c>
      <c r="U41" s="32">
        <f t="shared" si="3"/>
        <v>964.2</v>
      </c>
      <c r="V41" s="32">
        <f t="shared" si="2"/>
        <v>883.6</v>
      </c>
    </row>
    <row r="42" spans="1:22" s="186" customFormat="1" x14ac:dyDescent="0.25">
      <c r="A42" s="216">
        <v>42125</v>
      </c>
      <c r="B42" s="217">
        <v>762</v>
      </c>
      <c r="C42" s="218">
        <v>300</v>
      </c>
      <c r="D42" s="219">
        <v>613</v>
      </c>
      <c r="E42" s="219">
        <v>780</v>
      </c>
      <c r="F42" s="220">
        <v>358</v>
      </c>
      <c r="H42" s="221">
        <f t="shared" si="4"/>
        <v>0.58401305057096253</v>
      </c>
      <c r="I42" s="10"/>
      <c r="J42" s="182"/>
      <c r="K42" s="182"/>
      <c r="L42" s="10"/>
      <c r="M42" s="182"/>
      <c r="N42" s="182"/>
      <c r="O42" s="10"/>
      <c r="P42" s="45"/>
      <c r="Q42" s="45"/>
      <c r="R42" s="10"/>
      <c r="T42" s="216">
        <v>42125</v>
      </c>
      <c r="U42" s="32">
        <f>SUM(B38:B42)/5</f>
        <v>955</v>
      </c>
      <c r="V42" s="32">
        <f>SUM(E38:E42)/5</f>
        <v>872.8</v>
      </c>
    </row>
    <row r="43" spans="1:22" s="186" customFormat="1" x14ac:dyDescent="0.25">
      <c r="A43" s="216">
        <v>42156</v>
      </c>
      <c r="B43" s="217">
        <v>848</v>
      </c>
      <c r="C43" s="218">
        <v>300</v>
      </c>
      <c r="D43" s="219">
        <v>457</v>
      </c>
      <c r="E43" s="219">
        <v>839</v>
      </c>
      <c r="F43" s="220">
        <v>200</v>
      </c>
      <c r="H43" s="221">
        <f t="shared" si="4"/>
        <v>0.43763676148796499</v>
      </c>
      <c r="I43" s="10"/>
      <c r="J43" s="182"/>
      <c r="K43" s="182"/>
      <c r="L43" s="10"/>
      <c r="M43" s="182"/>
      <c r="N43" s="182"/>
      <c r="O43" s="10"/>
      <c r="P43" s="45"/>
      <c r="Q43" s="45"/>
      <c r="R43" s="10"/>
      <c r="T43" s="216"/>
      <c r="U43" s="32"/>
      <c r="V43" s="32"/>
    </row>
    <row r="44" spans="1:22" s="186" customFormat="1" x14ac:dyDescent="0.25">
      <c r="A44" s="216">
        <v>42200</v>
      </c>
      <c r="B44" s="217">
        <v>870</v>
      </c>
      <c r="C44" s="218">
        <v>300</v>
      </c>
      <c r="D44" s="219">
        <v>518</v>
      </c>
      <c r="E44" s="219">
        <v>787</v>
      </c>
      <c r="F44" s="220">
        <v>232</v>
      </c>
      <c r="H44" s="221">
        <f t="shared" si="4"/>
        <v>0.44787644787644787</v>
      </c>
      <c r="I44" s="10"/>
      <c r="J44" s="182"/>
      <c r="K44" s="182"/>
      <c r="L44" s="10"/>
      <c r="M44" s="182"/>
      <c r="N44" s="182"/>
      <c r="O44" s="10"/>
      <c r="P44" s="45"/>
      <c r="Q44" s="45"/>
      <c r="R44" s="10"/>
      <c r="T44" s="216"/>
      <c r="U44" s="32"/>
      <c r="V44" s="32"/>
    </row>
    <row r="45" spans="1:22" s="186" customFormat="1" x14ac:dyDescent="0.25">
      <c r="A45" s="216">
        <v>42231</v>
      </c>
      <c r="B45" s="217">
        <v>923</v>
      </c>
      <c r="C45" s="218">
        <v>300</v>
      </c>
      <c r="D45" s="219">
        <v>616</v>
      </c>
      <c r="E45" s="219">
        <v>800</v>
      </c>
      <c r="F45" s="220">
        <v>260</v>
      </c>
      <c r="H45" s="221">
        <f t="shared" si="4"/>
        <v>0.42207792207792205</v>
      </c>
      <c r="I45" s="10"/>
      <c r="J45" s="182"/>
      <c r="K45" s="182"/>
      <c r="L45" s="10"/>
      <c r="M45" s="182"/>
      <c r="N45" s="182"/>
      <c r="O45" s="10"/>
      <c r="P45" s="45"/>
      <c r="Q45" s="45"/>
      <c r="R45" s="10"/>
      <c r="T45" s="216"/>
      <c r="U45" s="32"/>
      <c r="V45" s="32"/>
    </row>
    <row r="46" spans="1:22" s="186" customFormat="1" x14ac:dyDescent="0.25">
      <c r="A46" s="216">
        <v>42262</v>
      </c>
      <c r="B46" s="217">
        <v>852</v>
      </c>
      <c r="C46" s="218">
        <v>300</v>
      </c>
      <c r="D46" s="219">
        <v>704</v>
      </c>
      <c r="E46" s="219">
        <v>742</v>
      </c>
      <c r="F46" s="220">
        <v>398</v>
      </c>
      <c r="H46" s="221">
        <f t="shared" si="4"/>
        <v>0.56534090909090906</v>
      </c>
      <c r="I46" s="10"/>
      <c r="J46" s="182"/>
      <c r="K46" s="182"/>
      <c r="L46" s="10"/>
      <c r="M46" s="182"/>
      <c r="N46" s="182"/>
      <c r="O46" s="10"/>
      <c r="P46" s="45"/>
      <c r="Q46" s="45"/>
      <c r="R46" s="10"/>
      <c r="T46" s="216"/>
      <c r="U46" s="32"/>
      <c r="V46" s="32"/>
    </row>
    <row r="47" spans="1:22" s="186" customFormat="1" x14ac:dyDescent="0.25">
      <c r="A47" s="216">
        <v>42292</v>
      </c>
      <c r="B47" s="217">
        <v>1000</v>
      </c>
      <c r="C47" s="218">
        <v>300</v>
      </c>
      <c r="D47" s="219">
        <v>866</v>
      </c>
      <c r="E47" s="219">
        <v>792</v>
      </c>
      <c r="F47" s="220">
        <v>487</v>
      </c>
      <c r="H47" s="221">
        <f t="shared" si="4"/>
        <v>0.56235565819861433</v>
      </c>
      <c r="I47" s="10"/>
      <c r="J47" s="182"/>
      <c r="K47" s="182"/>
      <c r="L47" s="10"/>
      <c r="M47" s="182"/>
      <c r="N47" s="182"/>
      <c r="O47" s="10"/>
      <c r="P47" s="45"/>
      <c r="Q47" s="45"/>
      <c r="R47" s="10"/>
      <c r="T47" s="216"/>
      <c r="U47" s="32"/>
      <c r="V47" s="32"/>
    </row>
    <row r="48" spans="1:22" s="186" customFormat="1" x14ac:dyDescent="0.25">
      <c r="A48" s="216">
        <v>42309</v>
      </c>
      <c r="B48" s="217">
        <v>769</v>
      </c>
      <c r="C48" s="218">
        <v>300</v>
      </c>
      <c r="D48" s="219">
        <v>789</v>
      </c>
      <c r="E48" s="219">
        <v>719</v>
      </c>
      <c r="F48" s="220">
        <v>508</v>
      </c>
      <c r="H48" s="221">
        <f t="shared" si="4"/>
        <v>0.6438529784537389</v>
      </c>
      <c r="I48" s="10"/>
      <c r="J48" s="182"/>
      <c r="K48" s="182"/>
      <c r="L48" s="10"/>
      <c r="M48" s="182"/>
      <c r="N48" s="182"/>
      <c r="O48" s="10"/>
      <c r="P48" s="45"/>
      <c r="Q48" s="45"/>
      <c r="R48" s="10"/>
      <c r="T48" s="216"/>
      <c r="U48" s="32"/>
      <c r="V48" s="32"/>
    </row>
    <row r="49" spans="1:22" s="186" customFormat="1" x14ac:dyDescent="0.25">
      <c r="A49" s="216">
        <v>42339</v>
      </c>
      <c r="B49" s="217">
        <v>657</v>
      </c>
      <c r="C49" s="218">
        <v>300</v>
      </c>
      <c r="D49" s="219">
        <v>801</v>
      </c>
      <c r="E49" s="219">
        <v>689</v>
      </c>
      <c r="F49" s="220">
        <v>539</v>
      </c>
      <c r="H49" s="221">
        <f t="shared" si="4"/>
        <v>0.67290886392009985</v>
      </c>
      <c r="I49" s="10"/>
      <c r="J49" s="182"/>
      <c r="K49" s="182"/>
      <c r="L49" s="10"/>
      <c r="M49" s="182"/>
      <c r="N49" s="182"/>
      <c r="O49" s="10"/>
      <c r="P49" s="45"/>
      <c r="Q49" s="45"/>
      <c r="R49" s="10"/>
      <c r="T49" s="216"/>
      <c r="U49" s="32"/>
      <c r="V49" s="32"/>
    </row>
    <row r="50" spans="1:22" s="186" customFormat="1" x14ac:dyDescent="0.25">
      <c r="A50" s="216">
        <v>42370</v>
      </c>
      <c r="B50" s="217">
        <v>824</v>
      </c>
      <c r="C50" s="218">
        <v>300</v>
      </c>
      <c r="D50" s="219">
        <v>835</v>
      </c>
      <c r="E50" s="219">
        <v>699</v>
      </c>
      <c r="F50" s="220">
        <v>530</v>
      </c>
      <c r="H50" s="221">
        <f t="shared" si="4"/>
        <v>0.6347305389221557</v>
      </c>
      <c r="I50" s="10"/>
      <c r="J50" s="182"/>
      <c r="K50" s="182"/>
      <c r="L50" s="10"/>
      <c r="M50" s="182"/>
      <c r="N50" s="182"/>
      <c r="O50" s="10"/>
      <c r="P50" s="45"/>
      <c r="Q50" s="45"/>
      <c r="R50" s="10"/>
      <c r="T50" s="216"/>
      <c r="U50" s="32"/>
      <c r="V50" s="32"/>
    </row>
    <row r="51" spans="1:22" s="186" customFormat="1" x14ac:dyDescent="0.25">
      <c r="A51" s="216">
        <v>42401</v>
      </c>
      <c r="B51" s="217">
        <v>829</v>
      </c>
      <c r="C51" s="218">
        <v>300</v>
      </c>
      <c r="D51" s="219">
        <v>709</v>
      </c>
      <c r="E51" s="219">
        <v>788</v>
      </c>
      <c r="F51" s="220">
        <v>431</v>
      </c>
      <c r="H51" s="221">
        <f t="shared" si="4"/>
        <v>0.60789844851904096</v>
      </c>
      <c r="I51" s="10"/>
      <c r="J51" s="182"/>
      <c r="K51" s="182"/>
      <c r="L51" s="10"/>
      <c r="M51" s="182"/>
      <c r="N51" s="182"/>
      <c r="O51" s="10"/>
      <c r="P51" s="45"/>
      <c r="Q51" s="45"/>
      <c r="R51" s="10"/>
      <c r="T51" s="216"/>
      <c r="U51" s="32"/>
      <c r="V51" s="32"/>
    </row>
    <row r="52" spans="1:22" s="186" customFormat="1" x14ac:dyDescent="0.25">
      <c r="A52" s="216">
        <v>42430</v>
      </c>
      <c r="B52" s="217">
        <v>871</v>
      </c>
      <c r="C52" s="218">
        <v>300</v>
      </c>
      <c r="D52" s="219">
        <v>761</v>
      </c>
      <c r="E52" s="219">
        <v>762</v>
      </c>
      <c r="F52" s="220">
        <v>432</v>
      </c>
      <c r="G52" s="186">
        <v>14</v>
      </c>
      <c r="H52" s="221">
        <f t="shared" si="4"/>
        <v>0.56767411300919846</v>
      </c>
      <c r="I52" s="10"/>
      <c r="J52" s="182"/>
      <c r="K52" s="182"/>
      <c r="L52" s="10"/>
      <c r="M52" s="182"/>
      <c r="N52" s="182"/>
      <c r="O52" s="10"/>
      <c r="P52" s="45"/>
      <c r="Q52" s="45"/>
      <c r="R52" s="10"/>
      <c r="T52" s="216"/>
      <c r="U52" s="32"/>
      <c r="V52" s="32"/>
    </row>
    <row r="53" spans="1:22" s="186" customFormat="1" x14ac:dyDescent="0.25">
      <c r="A53" s="216">
        <v>42461</v>
      </c>
      <c r="B53" s="217">
        <v>645</v>
      </c>
      <c r="C53" s="218">
        <v>300</v>
      </c>
      <c r="D53" s="219">
        <v>726</v>
      </c>
      <c r="E53" s="219">
        <v>632</v>
      </c>
      <c r="F53" s="220">
        <v>516</v>
      </c>
      <c r="G53" s="186">
        <v>19</v>
      </c>
      <c r="H53" s="221">
        <f t="shared" si="4"/>
        <v>0.71074380165289253</v>
      </c>
      <c r="I53" s="10"/>
      <c r="J53" s="182"/>
      <c r="K53" s="182"/>
      <c r="L53" s="10"/>
      <c r="M53" s="182"/>
      <c r="N53" s="182"/>
      <c r="O53" s="10"/>
      <c r="P53" s="45"/>
      <c r="Q53" s="45"/>
      <c r="R53" s="10"/>
      <c r="T53" s="216"/>
      <c r="U53" s="32"/>
      <c r="V53" s="32"/>
    </row>
    <row r="54" spans="1:22" s="186" customFormat="1" x14ac:dyDescent="0.25">
      <c r="A54" s="216">
        <v>42491</v>
      </c>
      <c r="B54" s="217">
        <v>702</v>
      </c>
      <c r="C54" s="218">
        <v>300</v>
      </c>
      <c r="D54" s="219">
        <v>834</v>
      </c>
      <c r="E54" s="219">
        <v>569</v>
      </c>
      <c r="F54" s="220">
        <v>558</v>
      </c>
      <c r="G54" s="186">
        <v>30</v>
      </c>
      <c r="H54" s="221">
        <f t="shared" si="4"/>
        <v>0.6690647482014388</v>
      </c>
      <c r="I54" s="10"/>
      <c r="J54" s="182"/>
      <c r="K54" s="182"/>
      <c r="L54" s="10"/>
      <c r="M54" s="182"/>
      <c r="N54" s="182"/>
      <c r="O54" s="10"/>
      <c r="P54" s="45"/>
      <c r="Q54" s="45"/>
      <c r="R54" s="10"/>
      <c r="T54" s="216"/>
      <c r="U54" s="32"/>
      <c r="V54" s="32"/>
    </row>
    <row r="55" spans="1:22" s="186" customFormat="1" x14ac:dyDescent="0.25">
      <c r="A55" s="216">
        <v>42522</v>
      </c>
      <c r="B55" s="217">
        <v>722</v>
      </c>
      <c r="C55" s="218">
        <v>300</v>
      </c>
      <c r="D55" s="219">
        <v>851</v>
      </c>
      <c r="E55" s="219">
        <v>655</v>
      </c>
      <c r="F55" s="220">
        <v>580</v>
      </c>
      <c r="G55" s="186">
        <v>37</v>
      </c>
      <c r="H55" s="221">
        <f t="shared" si="4"/>
        <v>0.681551116333725</v>
      </c>
      <c r="I55" s="10"/>
      <c r="J55" s="182"/>
      <c r="K55" s="182"/>
      <c r="L55" s="10"/>
      <c r="M55" s="182"/>
      <c r="N55" s="182"/>
      <c r="O55" s="10"/>
      <c r="P55" s="45"/>
      <c r="Q55" s="45"/>
      <c r="R55" s="10"/>
      <c r="T55" s="216"/>
      <c r="U55" s="32"/>
      <c r="V55" s="32"/>
    </row>
    <row r="56" spans="1:22" s="186" customFormat="1" x14ac:dyDescent="0.25">
      <c r="A56" s="216">
        <v>42552</v>
      </c>
      <c r="B56" s="217">
        <v>662</v>
      </c>
      <c r="C56" s="218">
        <v>300</v>
      </c>
      <c r="D56" s="219">
        <v>933</v>
      </c>
      <c r="E56" s="219">
        <v>552</v>
      </c>
      <c r="F56" s="220">
        <v>660</v>
      </c>
      <c r="G56" s="186">
        <v>36</v>
      </c>
      <c r="H56" s="221">
        <f t="shared" si="4"/>
        <v>0.707395498392283</v>
      </c>
      <c r="I56" s="10"/>
      <c r="J56" s="182"/>
      <c r="K56" s="182"/>
      <c r="L56" s="10"/>
      <c r="M56" s="182"/>
      <c r="N56" s="182"/>
      <c r="O56" s="10"/>
      <c r="P56" s="45"/>
      <c r="Q56" s="45"/>
      <c r="R56" s="10"/>
      <c r="T56" s="216"/>
      <c r="U56" s="32"/>
      <c r="V56" s="32"/>
    </row>
    <row r="57" spans="1:22" s="186" customFormat="1" x14ac:dyDescent="0.25">
      <c r="A57" s="216">
        <v>42583</v>
      </c>
      <c r="B57" s="217">
        <v>944</v>
      </c>
      <c r="C57" s="218">
        <v>300</v>
      </c>
      <c r="D57" s="219">
        <v>996</v>
      </c>
      <c r="E57" s="219">
        <v>734</v>
      </c>
      <c r="F57" s="220">
        <v>565</v>
      </c>
      <c r="G57" s="186">
        <v>103</v>
      </c>
      <c r="H57" s="221">
        <f t="shared" si="4"/>
        <v>0.56726907630522083</v>
      </c>
      <c r="I57" s="10"/>
      <c r="J57" s="182"/>
      <c r="K57" s="182"/>
      <c r="L57" s="10"/>
      <c r="M57" s="182"/>
      <c r="N57" s="182"/>
      <c r="O57" s="10"/>
      <c r="P57" s="45"/>
      <c r="Q57" s="45"/>
      <c r="R57" s="10"/>
      <c r="T57" s="216"/>
      <c r="U57" s="32"/>
      <c r="V57" s="32"/>
    </row>
    <row r="58" spans="1:22" s="186" customFormat="1" x14ac:dyDescent="0.25">
      <c r="A58" s="1"/>
      <c r="B58" s="2"/>
      <c r="C58" s="211"/>
      <c r="D58" s="214"/>
      <c r="E58" s="214"/>
      <c r="F58" s="63"/>
      <c r="G58" s="19"/>
      <c r="H58" s="182"/>
      <c r="I58" s="10"/>
      <c r="J58" s="182"/>
      <c r="K58" s="182"/>
      <c r="L58" s="10"/>
      <c r="M58" s="182"/>
      <c r="N58" s="182"/>
      <c r="O58" s="10"/>
      <c r="P58" s="45"/>
      <c r="Q58" s="45"/>
      <c r="R58" s="10"/>
      <c r="U58" s="32"/>
      <c r="V58" s="32"/>
    </row>
    <row r="59" spans="1:22" ht="45" x14ac:dyDescent="0.25">
      <c r="A59" s="10" t="s">
        <v>57</v>
      </c>
      <c r="B59" s="10" t="s">
        <v>2</v>
      </c>
      <c r="C59" s="46" t="s">
        <v>41</v>
      </c>
      <c r="D59" s="46" t="s">
        <v>42</v>
      </c>
      <c r="E59" s="10" t="s">
        <v>3</v>
      </c>
      <c r="F59" s="46" t="s">
        <v>41</v>
      </c>
      <c r="G59" s="46" t="s">
        <v>42</v>
      </c>
      <c r="H59" s="10" t="s">
        <v>4</v>
      </c>
      <c r="I59" s="46" t="s">
        <v>41</v>
      </c>
      <c r="J59" s="46" t="s">
        <v>42</v>
      </c>
      <c r="K59" s="10" t="s">
        <v>5</v>
      </c>
      <c r="L59" s="46" t="s">
        <v>41</v>
      </c>
      <c r="M59" s="46" t="s">
        <v>42</v>
      </c>
      <c r="N59" s="10" t="s">
        <v>6</v>
      </c>
      <c r="O59" s="46" t="s">
        <v>41</v>
      </c>
      <c r="P59" s="46" t="s">
        <v>42</v>
      </c>
      <c r="Q59" s="10" t="s">
        <v>7</v>
      </c>
      <c r="R59" s="46" t="s">
        <v>175</v>
      </c>
      <c r="S59" s="10"/>
      <c r="T59" s="46"/>
    </row>
    <row r="60" spans="1:22" hidden="1" x14ac:dyDescent="0.25">
      <c r="A60" s="12">
        <v>40817</v>
      </c>
      <c r="B60" s="7">
        <v>0.9</v>
      </c>
      <c r="C60" s="43" t="s">
        <v>155</v>
      </c>
      <c r="D60" s="43" t="s">
        <v>142</v>
      </c>
      <c r="E60" s="7">
        <f t="shared" ref="E60:E72" si="5">D60/C60</f>
        <v>0.7410161090458488</v>
      </c>
      <c r="F60" s="43" t="s">
        <v>138</v>
      </c>
      <c r="G60" s="43" t="s">
        <v>132</v>
      </c>
      <c r="H60" s="7">
        <f>G60/F60</f>
        <v>0.77777777777777779</v>
      </c>
      <c r="I60" s="43" t="s">
        <v>131</v>
      </c>
      <c r="J60" s="43" t="s">
        <v>123</v>
      </c>
      <c r="K60" s="7">
        <f>J60/I60</f>
        <v>0.63636363636363635</v>
      </c>
      <c r="L60" s="43" t="s">
        <v>122</v>
      </c>
      <c r="M60" s="43" t="s">
        <v>111</v>
      </c>
      <c r="N60" s="7">
        <f>M60/L60</f>
        <v>0.74850299401197606</v>
      </c>
      <c r="O60" s="48" t="s">
        <v>110</v>
      </c>
      <c r="P60" s="48" t="s">
        <v>99</v>
      </c>
      <c r="Q60" s="7">
        <f>P60/O60</f>
        <v>0.76789587852494579</v>
      </c>
      <c r="S60" s="12"/>
    </row>
    <row r="61" spans="1:22" hidden="1" x14ac:dyDescent="0.25">
      <c r="A61" s="12">
        <v>40848</v>
      </c>
      <c r="B61" s="7">
        <v>0.9</v>
      </c>
      <c r="C61" s="43" t="s">
        <v>154</v>
      </c>
      <c r="D61" s="43" t="s">
        <v>143</v>
      </c>
      <c r="E61" s="7">
        <f t="shared" si="5"/>
        <v>0.76067270375161711</v>
      </c>
      <c r="F61" s="43" t="s">
        <v>135</v>
      </c>
      <c r="G61" s="43" t="s">
        <v>133</v>
      </c>
      <c r="H61" s="7">
        <f>G61/F61</f>
        <v>0.78</v>
      </c>
      <c r="I61" s="43" t="s">
        <v>130</v>
      </c>
      <c r="J61" s="43" t="s">
        <v>124</v>
      </c>
      <c r="K61" s="7">
        <f>J61/I61</f>
        <v>0.51724137931034486</v>
      </c>
      <c r="L61" s="43" t="s">
        <v>121</v>
      </c>
      <c r="M61" s="43" t="s">
        <v>112</v>
      </c>
      <c r="N61" s="7">
        <f>M61/L61</f>
        <v>0.79136690647482011</v>
      </c>
      <c r="O61" s="48" t="s">
        <v>109</v>
      </c>
      <c r="P61" s="48" t="s">
        <v>100</v>
      </c>
      <c r="Q61" s="7">
        <f>P61/O61</f>
        <v>0.80982905982905984</v>
      </c>
      <c r="S61" s="12"/>
    </row>
    <row r="62" spans="1:22" hidden="1" x14ac:dyDescent="0.25">
      <c r="A62" s="12">
        <v>40878</v>
      </c>
      <c r="B62" s="7">
        <v>0.9</v>
      </c>
      <c r="C62" s="43" t="s">
        <v>153</v>
      </c>
      <c r="D62" s="43" t="s">
        <v>144</v>
      </c>
      <c r="E62" s="7">
        <f t="shared" si="5"/>
        <v>0.75354838709677419</v>
      </c>
      <c r="F62" s="43" t="s">
        <v>139</v>
      </c>
      <c r="G62" s="43" t="s">
        <v>134</v>
      </c>
      <c r="H62" s="7">
        <f>G62/F62</f>
        <v>0.72340425531914898</v>
      </c>
      <c r="I62" s="43" t="s">
        <v>129</v>
      </c>
      <c r="J62" s="43" t="s">
        <v>125</v>
      </c>
      <c r="K62" s="7">
        <f>J62/I62</f>
        <v>0.58904109589041098</v>
      </c>
      <c r="L62" s="43" t="s">
        <v>120</v>
      </c>
      <c r="M62" s="43" t="s">
        <v>113</v>
      </c>
      <c r="N62" s="7">
        <f>M62/L62</f>
        <v>0.73282442748091603</v>
      </c>
      <c r="O62" s="48" t="s">
        <v>108</v>
      </c>
      <c r="P62" s="48" t="s">
        <v>101</v>
      </c>
      <c r="Q62" s="7">
        <f>P62/O62</f>
        <v>0.81596452328159641</v>
      </c>
      <c r="S62" s="12"/>
    </row>
    <row r="63" spans="1:22" hidden="1" x14ac:dyDescent="0.25">
      <c r="A63" s="12">
        <v>40909</v>
      </c>
      <c r="B63" s="7">
        <v>0.9</v>
      </c>
      <c r="C63" s="43" t="s">
        <v>152</v>
      </c>
      <c r="D63" s="43" t="s">
        <v>145</v>
      </c>
      <c r="E63" s="7">
        <f t="shared" si="5"/>
        <v>0.73606729758149314</v>
      </c>
      <c r="F63" s="43" t="s">
        <v>140</v>
      </c>
      <c r="G63" s="43" t="s">
        <v>135</v>
      </c>
      <c r="H63" s="7">
        <f>G63/F63</f>
        <v>0.80645161290322576</v>
      </c>
      <c r="I63" s="43" t="s">
        <v>128</v>
      </c>
      <c r="J63" s="43" t="s">
        <v>113</v>
      </c>
      <c r="K63" s="7">
        <f>J63/I63</f>
        <v>0.58181818181818179</v>
      </c>
      <c r="L63" s="43" t="s">
        <v>119</v>
      </c>
      <c r="M63" s="43" t="s">
        <v>114</v>
      </c>
      <c r="N63" s="7">
        <f>M63/L63</f>
        <v>0.70348837209302328</v>
      </c>
      <c r="O63" s="48" t="s">
        <v>107</v>
      </c>
      <c r="P63" s="48" t="s">
        <v>102</v>
      </c>
      <c r="Q63" s="7">
        <f>P63/O63</f>
        <v>0.78442028985507251</v>
      </c>
      <c r="S63" s="12"/>
    </row>
    <row r="64" spans="1:22" hidden="1" x14ac:dyDescent="0.25">
      <c r="A64" s="12">
        <v>40940</v>
      </c>
      <c r="B64" s="7">
        <v>0.9</v>
      </c>
      <c r="C64" s="43" t="s">
        <v>151</v>
      </c>
      <c r="D64" s="43" t="s">
        <v>146</v>
      </c>
      <c r="E64" s="7">
        <f t="shared" si="5"/>
        <v>0.84952978056426331</v>
      </c>
      <c r="F64" s="43"/>
      <c r="G64" s="43"/>
      <c r="H64" s="7">
        <v>0.85</v>
      </c>
      <c r="I64" s="43"/>
      <c r="J64" s="43"/>
      <c r="K64" s="7">
        <v>0.65</v>
      </c>
      <c r="L64" s="43"/>
      <c r="M64" s="43"/>
      <c r="N64" s="7">
        <v>0.87</v>
      </c>
      <c r="O64" s="48"/>
      <c r="P64" s="48"/>
      <c r="Q64" s="7">
        <v>0.89</v>
      </c>
      <c r="S64" s="12"/>
    </row>
    <row r="65" spans="1:19" hidden="1" x14ac:dyDescent="0.25">
      <c r="A65" s="12">
        <v>40969</v>
      </c>
      <c r="B65" s="7">
        <v>0.9</v>
      </c>
      <c r="C65" s="43" t="s">
        <v>150</v>
      </c>
      <c r="D65" s="43" t="s">
        <v>147</v>
      </c>
      <c r="E65" s="7">
        <f t="shared" si="5"/>
        <v>0.74455205811138014</v>
      </c>
      <c r="F65" s="43" t="s">
        <v>141</v>
      </c>
      <c r="G65" s="43" t="s">
        <v>136</v>
      </c>
      <c r="H65" s="7">
        <f t="shared" ref="H65:H72" si="6">G65/F65</f>
        <v>0.8035714285714286</v>
      </c>
      <c r="I65" s="43" t="s">
        <v>127</v>
      </c>
      <c r="J65" s="43" t="s">
        <v>78</v>
      </c>
      <c r="K65" s="7">
        <f>J65/I65</f>
        <v>0.61635220125786161</v>
      </c>
      <c r="L65" s="43" t="s">
        <v>118</v>
      </c>
      <c r="M65" s="43" t="s">
        <v>115</v>
      </c>
      <c r="N65" s="7">
        <f>M65/L65</f>
        <v>0.6645962732919255</v>
      </c>
      <c r="O65" s="48" t="s">
        <v>106</v>
      </c>
      <c r="P65" s="48" t="s">
        <v>103</v>
      </c>
      <c r="Q65" s="7">
        <f t="shared" ref="Q65:Q72" si="7">P65/O65</f>
        <v>0.81111111111111112</v>
      </c>
      <c r="S65" s="12"/>
    </row>
    <row r="66" spans="1:19" hidden="1" x14ac:dyDescent="0.25">
      <c r="A66" s="12">
        <v>41000</v>
      </c>
      <c r="B66" s="7">
        <v>0.9</v>
      </c>
      <c r="C66" s="43" t="s">
        <v>149</v>
      </c>
      <c r="D66" s="43" t="s">
        <v>148</v>
      </c>
      <c r="E66" s="7">
        <f t="shared" si="5"/>
        <v>0.73529411764705888</v>
      </c>
      <c r="F66" s="43" t="s">
        <v>136</v>
      </c>
      <c r="G66" s="43" t="s">
        <v>137</v>
      </c>
      <c r="H66" s="7">
        <f t="shared" si="6"/>
        <v>0.71111111111111114</v>
      </c>
      <c r="I66" s="43" t="s">
        <v>90</v>
      </c>
      <c r="J66" s="43" t="s">
        <v>126</v>
      </c>
      <c r="K66" s="7">
        <f t="shared" ref="K66:K72" si="8">J66/I66</f>
        <v>0.5722543352601156</v>
      </c>
      <c r="L66" s="43" t="s">
        <v>117</v>
      </c>
      <c r="M66" s="43" t="s">
        <v>116</v>
      </c>
      <c r="N66" s="7">
        <f t="shared" ref="N66:N72" si="9">M66/L66</f>
        <v>0.68</v>
      </c>
      <c r="O66" s="48" t="s">
        <v>105</v>
      </c>
      <c r="P66" s="48" t="s">
        <v>104</v>
      </c>
      <c r="Q66" s="7">
        <f t="shared" si="7"/>
        <v>0.8191964285714286</v>
      </c>
      <c r="S66" s="12"/>
    </row>
    <row r="67" spans="1:19" hidden="1" x14ac:dyDescent="0.25">
      <c r="A67" s="12">
        <v>41030</v>
      </c>
      <c r="B67" s="7">
        <v>0.9</v>
      </c>
      <c r="C67" s="52">
        <v>716</v>
      </c>
      <c r="D67" s="52">
        <v>551</v>
      </c>
      <c r="E67" s="7">
        <f t="shared" si="5"/>
        <v>0.76955307262569828</v>
      </c>
      <c r="F67" s="52">
        <v>57</v>
      </c>
      <c r="G67" s="52">
        <v>46</v>
      </c>
      <c r="H67" s="7">
        <f t="shared" si="6"/>
        <v>0.80701754385964908</v>
      </c>
      <c r="I67" s="52">
        <v>116</v>
      </c>
      <c r="J67" s="52">
        <v>71</v>
      </c>
      <c r="K67" s="7">
        <f t="shared" si="8"/>
        <v>0.61206896551724133</v>
      </c>
      <c r="L67" s="52">
        <v>152</v>
      </c>
      <c r="M67" s="52">
        <v>102</v>
      </c>
      <c r="N67" s="7">
        <f t="shared" si="9"/>
        <v>0.67105263157894735</v>
      </c>
      <c r="O67" s="53">
        <v>391</v>
      </c>
      <c r="P67" s="53">
        <v>332</v>
      </c>
      <c r="Q67" s="7">
        <f t="shared" si="7"/>
        <v>0.84910485933503832</v>
      </c>
      <c r="S67" s="12"/>
    </row>
    <row r="68" spans="1:19" hidden="1" x14ac:dyDescent="0.25">
      <c r="A68" s="12">
        <v>41061</v>
      </c>
      <c r="B68" s="7">
        <v>0.9</v>
      </c>
      <c r="C68" s="79">
        <f>F68+I68+L68+O68</f>
        <v>657</v>
      </c>
      <c r="D68" s="79">
        <f>G68+J68+M68+P68</f>
        <v>539</v>
      </c>
      <c r="E68" s="7">
        <f t="shared" si="5"/>
        <v>0.82039573820395739</v>
      </c>
      <c r="F68" s="43" t="s">
        <v>135</v>
      </c>
      <c r="G68" s="43" t="s">
        <v>74</v>
      </c>
      <c r="H68" s="7">
        <f t="shared" si="6"/>
        <v>0.88</v>
      </c>
      <c r="I68" s="43" t="s">
        <v>199</v>
      </c>
      <c r="J68" s="43" t="s">
        <v>200</v>
      </c>
      <c r="K68" s="7">
        <f t="shared" si="8"/>
        <v>0.72277227722772275</v>
      </c>
      <c r="L68" s="43" t="s">
        <v>174</v>
      </c>
      <c r="M68" s="43" t="s">
        <v>201</v>
      </c>
      <c r="N68" s="7">
        <f t="shared" si="9"/>
        <v>0.73333333333333328</v>
      </c>
      <c r="O68" s="48" t="s">
        <v>173</v>
      </c>
      <c r="P68" s="48" t="s">
        <v>202</v>
      </c>
      <c r="Q68" s="7">
        <f t="shared" si="7"/>
        <v>0.86528497409326421</v>
      </c>
      <c r="R68">
        <v>7</v>
      </c>
      <c r="S68" s="12"/>
    </row>
    <row r="69" spans="1:19" hidden="1" x14ac:dyDescent="0.25">
      <c r="A69" s="12">
        <v>41091</v>
      </c>
      <c r="B69" s="7">
        <v>0.9</v>
      </c>
      <c r="C69" s="43" t="s">
        <v>216</v>
      </c>
      <c r="D69" s="43" t="s">
        <v>217</v>
      </c>
      <c r="E69" s="7">
        <f t="shared" si="5"/>
        <v>0.74583333333333335</v>
      </c>
      <c r="F69" s="43" t="s">
        <v>134</v>
      </c>
      <c r="G69" s="43" t="s">
        <v>218</v>
      </c>
      <c r="H69" s="7">
        <f t="shared" si="6"/>
        <v>0.70588235294117652</v>
      </c>
      <c r="I69" s="43" t="s">
        <v>219</v>
      </c>
      <c r="J69" s="43" t="s">
        <v>220</v>
      </c>
      <c r="K69" s="7">
        <f t="shared" si="8"/>
        <v>0.6785714285714286</v>
      </c>
      <c r="L69" s="43" t="s">
        <v>199</v>
      </c>
      <c r="M69" s="43" t="s">
        <v>221</v>
      </c>
      <c r="N69" s="7">
        <f t="shared" si="9"/>
        <v>0.84158415841584155</v>
      </c>
      <c r="O69" s="48" t="s">
        <v>222</v>
      </c>
      <c r="P69" s="48" t="s">
        <v>90</v>
      </c>
      <c r="Q69" s="7">
        <f t="shared" si="7"/>
        <v>0.74248927038626611</v>
      </c>
      <c r="R69">
        <v>96</v>
      </c>
      <c r="S69" s="12"/>
    </row>
    <row r="70" spans="1:19" hidden="1" x14ac:dyDescent="0.25">
      <c r="A70" s="12">
        <v>41122</v>
      </c>
      <c r="B70" s="7">
        <v>0.9</v>
      </c>
      <c r="C70" s="43" t="s">
        <v>211</v>
      </c>
      <c r="D70" s="43" t="s">
        <v>212</v>
      </c>
      <c r="E70" s="7">
        <f t="shared" si="5"/>
        <v>0.82905982905982911</v>
      </c>
      <c r="F70" s="43" t="s">
        <v>74</v>
      </c>
      <c r="G70" s="43" t="s">
        <v>213</v>
      </c>
      <c r="H70" s="7">
        <f t="shared" si="6"/>
        <v>0.90909090909090906</v>
      </c>
      <c r="I70" s="43" t="s">
        <v>93</v>
      </c>
      <c r="J70" s="43" t="s">
        <v>130</v>
      </c>
      <c r="K70" s="7">
        <f t="shared" si="8"/>
        <v>0.71165644171779141</v>
      </c>
      <c r="L70" s="43" t="s">
        <v>127</v>
      </c>
      <c r="M70" s="43" t="s">
        <v>114</v>
      </c>
      <c r="N70" s="7">
        <f t="shared" si="9"/>
        <v>0.76100628930817615</v>
      </c>
      <c r="O70" s="48" t="s">
        <v>214</v>
      </c>
      <c r="P70" s="48" t="s">
        <v>215</v>
      </c>
      <c r="Q70" s="7">
        <f t="shared" si="7"/>
        <v>0.88741721854304634</v>
      </c>
      <c r="R70">
        <v>29</v>
      </c>
      <c r="S70" s="12"/>
    </row>
    <row r="71" spans="1:19" hidden="1" x14ac:dyDescent="0.25">
      <c r="A71" s="12">
        <v>41153</v>
      </c>
      <c r="B71" s="7">
        <v>0.9</v>
      </c>
      <c r="C71" s="43" t="s">
        <v>237</v>
      </c>
      <c r="D71" s="43" t="s">
        <v>236</v>
      </c>
      <c r="E71" s="7">
        <f t="shared" si="5"/>
        <v>0.64958158995815896</v>
      </c>
      <c r="F71" s="43" t="s">
        <v>77</v>
      </c>
      <c r="G71" s="43" t="s">
        <v>238</v>
      </c>
      <c r="H71" s="7">
        <f t="shared" si="6"/>
        <v>0.61224489795918369</v>
      </c>
      <c r="I71" s="43" t="s">
        <v>222</v>
      </c>
      <c r="J71" s="43" t="s">
        <v>239</v>
      </c>
      <c r="K71" s="7">
        <f t="shared" si="8"/>
        <v>0.52360515021459231</v>
      </c>
      <c r="L71" s="43" t="s">
        <v>240</v>
      </c>
      <c r="M71" s="43" t="s">
        <v>172</v>
      </c>
      <c r="N71" s="7">
        <f t="shared" si="9"/>
        <v>0.57317073170731703</v>
      </c>
      <c r="O71" s="48" t="s">
        <v>67</v>
      </c>
      <c r="P71" s="48" t="s">
        <v>241</v>
      </c>
      <c r="Q71" s="7">
        <f t="shared" si="7"/>
        <v>0.76635514018691586</v>
      </c>
      <c r="R71">
        <v>31</v>
      </c>
      <c r="S71" s="12"/>
    </row>
    <row r="72" spans="1:19" hidden="1" x14ac:dyDescent="0.25">
      <c r="A72" s="12">
        <v>41183</v>
      </c>
      <c r="B72" s="7">
        <v>0.9</v>
      </c>
      <c r="C72" s="43" t="s">
        <v>258</v>
      </c>
      <c r="D72" s="43" t="s">
        <v>259</v>
      </c>
      <c r="E72" s="7">
        <f t="shared" si="5"/>
        <v>0.65402405180388534</v>
      </c>
      <c r="F72" s="43" t="s">
        <v>260</v>
      </c>
      <c r="G72" s="43" t="s">
        <v>261</v>
      </c>
      <c r="H72" s="7">
        <f t="shared" si="6"/>
        <v>0.45454545454545453</v>
      </c>
      <c r="I72" s="43" t="s">
        <v>243</v>
      </c>
      <c r="J72" s="43" t="s">
        <v>111</v>
      </c>
      <c r="K72" s="7">
        <f t="shared" si="8"/>
        <v>0.54112554112554112</v>
      </c>
      <c r="L72" s="43" t="s">
        <v>184</v>
      </c>
      <c r="M72" s="43" t="s">
        <v>71</v>
      </c>
      <c r="N72" s="7">
        <f t="shared" si="9"/>
        <v>0.67680608365019013</v>
      </c>
      <c r="O72" s="48" t="s">
        <v>262</v>
      </c>
      <c r="P72" s="48" t="s">
        <v>100</v>
      </c>
      <c r="Q72" s="7">
        <f t="shared" si="7"/>
        <v>0.71240601503759393</v>
      </c>
      <c r="R72" s="87">
        <v>22</v>
      </c>
      <c r="S72" s="12"/>
    </row>
    <row r="73" spans="1:19" hidden="1" x14ac:dyDescent="0.25">
      <c r="A73" s="12">
        <v>41214</v>
      </c>
      <c r="B73" s="7">
        <v>0.9</v>
      </c>
      <c r="C73" s="43" t="s">
        <v>274</v>
      </c>
      <c r="D73" s="43" t="s">
        <v>275</v>
      </c>
      <c r="E73" s="7">
        <f>D73/C73</f>
        <v>0.74647887323943662</v>
      </c>
      <c r="F73" s="43" t="s">
        <v>276</v>
      </c>
      <c r="G73" s="43" t="s">
        <v>132</v>
      </c>
      <c r="H73" s="7">
        <f>G73/F73</f>
        <v>0.58333333333333337</v>
      </c>
      <c r="I73" s="43" t="s">
        <v>232</v>
      </c>
      <c r="J73" s="43" t="s">
        <v>277</v>
      </c>
      <c r="K73" s="7">
        <f>J73/I73</f>
        <v>0.62983425414364635</v>
      </c>
      <c r="L73" s="43" t="s">
        <v>278</v>
      </c>
      <c r="M73" s="43" t="s">
        <v>229</v>
      </c>
      <c r="N73" s="7">
        <f>M73/L73</f>
        <v>0.73076923076923073</v>
      </c>
      <c r="O73" s="48" t="s">
        <v>279</v>
      </c>
      <c r="P73" s="48" t="s">
        <v>280</v>
      </c>
      <c r="Q73" s="7">
        <f>P73/O73</f>
        <v>0.81275720164609055</v>
      </c>
      <c r="R73">
        <v>29</v>
      </c>
      <c r="S73" s="12"/>
    </row>
    <row r="74" spans="1:19" hidden="1" x14ac:dyDescent="0.25">
      <c r="A74" s="12">
        <v>41244</v>
      </c>
      <c r="B74" s="7">
        <v>0.9</v>
      </c>
      <c r="C74" s="43" t="s">
        <v>289</v>
      </c>
      <c r="D74" s="43" t="s">
        <v>290</v>
      </c>
      <c r="E74" s="7">
        <f>D74/C74</f>
        <v>0.72453371592539451</v>
      </c>
      <c r="F74" s="43" t="s">
        <v>291</v>
      </c>
      <c r="G74" s="43" t="s">
        <v>159</v>
      </c>
      <c r="H74" s="7">
        <f>G74/F74</f>
        <v>0.6</v>
      </c>
      <c r="I74" s="43" t="s">
        <v>183</v>
      </c>
      <c r="J74" s="43" t="s">
        <v>292</v>
      </c>
      <c r="K74" s="7">
        <f>J74/I74</f>
        <v>0.50609756097560976</v>
      </c>
      <c r="L74" s="43" t="s">
        <v>80</v>
      </c>
      <c r="M74" s="43" t="s">
        <v>293</v>
      </c>
      <c r="N74" s="7">
        <f>M74/L74</f>
        <v>0.70748299319727892</v>
      </c>
      <c r="O74" s="48" t="s">
        <v>294</v>
      </c>
      <c r="P74" s="48" t="s">
        <v>295</v>
      </c>
      <c r="Q74" s="7">
        <f>P74/O74</f>
        <v>0.83606557377049184</v>
      </c>
      <c r="R74">
        <v>28</v>
      </c>
      <c r="S74" s="12"/>
    </row>
    <row r="75" spans="1:19" hidden="1" x14ac:dyDescent="0.25">
      <c r="A75" s="12">
        <v>41275</v>
      </c>
      <c r="B75" s="7">
        <v>0.9</v>
      </c>
      <c r="C75" s="43" t="s">
        <v>301</v>
      </c>
      <c r="D75" s="43" t="s">
        <v>302</v>
      </c>
      <c r="E75" s="7">
        <f>D75/C75</f>
        <v>0.79647058823529415</v>
      </c>
      <c r="F75" s="43" t="s">
        <v>201</v>
      </c>
      <c r="G75" s="43" t="s">
        <v>303</v>
      </c>
      <c r="H75" s="7">
        <f>G75/F75</f>
        <v>0.76136363636363635</v>
      </c>
      <c r="I75" s="43" t="s">
        <v>304</v>
      </c>
      <c r="J75" s="43" t="s">
        <v>128</v>
      </c>
      <c r="K75" s="7">
        <f>J75/I75</f>
        <v>0.77830188679245282</v>
      </c>
      <c r="L75" s="43" t="s">
        <v>305</v>
      </c>
      <c r="M75" s="43" t="s">
        <v>131</v>
      </c>
      <c r="N75" s="7">
        <f>M75/L75</f>
        <v>0.76063829787234039</v>
      </c>
      <c r="O75" s="48" t="s">
        <v>306</v>
      </c>
      <c r="P75" s="48" t="s">
        <v>307</v>
      </c>
      <c r="Q75" s="7">
        <f>P75/O75</f>
        <v>0.83425414364640882</v>
      </c>
      <c r="R75">
        <v>32</v>
      </c>
      <c r="S75" s="12"/>
    </row>
    <row r="76" spans="1:19" hidden="1" x14ac:dyDescent="0.25">
      <c r="A76" s="12">
        <v>41306</v>
      </c>
      <c r="B76" s="7">
        <v>0.9</v>
      </c>
      <c r="C76" s="43" t="s">
        <v>329</v>
      </c>
      <c r="D76" s="43" t="s">
        <v>330</v>
      </c>
      <c r="E76" s="7">
        <f>D76/C76</f>
        <v>0.80065359477124187</v>
      </c>
      <c r="F76" s="43" t="s">
        <v>135</v>
      </c>
      <c r="G76" s="43" t="s">
        <v>135</v>
      </c>
      <c r="H76" s="7">
        <f>G76/F76</f>
        <v>1</v>
      </c>
      <c r="I76" s="43" t="s">
        <v>249</v>
      </c>
      <c r="J76" s="43" t="s">
        <v>62</v>
      </c>
      <c r="K76" s="7">
        <f>J76/I76</f>
        <v>0.77375565610859731</v>
      </c>
      <c r="L76" s="52">
        <v>188</v>
      </c>
      <c r="M76" s="52">
        <v>143</v>
      </c>
      <c r="N76" s="7">
        <f>M76/L76</f>
        <v>0.76063829787234039</v>
      </c>
      <c r="O76" s="48" t="s">
        <v>331</v>
      </c>
      <c r="P76" s="48" t="s">
        <v>332</v>
      </c>
      <c r="Q76" s="7">
        <f>P76/O76</f>
        <v>0.80827886710239649</v>
      </c>
      <c r="R76">
        <v>24</v>
      </c>
      <c r="S76" s="12"/>
    </row>
    <row r="77" spans="1:19" hidden="1" x14ac:dyDescent="0.25">
      <c r="A77" s="12">
        <v>41334</v>
      </c>
      <c r="B77" s="7">
        <v>0.9</v>
      </c>
      <c r="C77" s="43" t="s">
        <v>349</v>
      </c>
      <c r="D77" s="43" t="s">
        <v>350</v>
      </c>
      <c r="E77" s="7">
        <f t="shared" ref="E77:E82" si="10">D77/C77</f>
        <v>0.8431793770139635</v>
      </c>
      <c r="F77" s="43" t="s">
        <v>198</v>
      </c>
      <c r="G77" s="43" t="s">
        <v>344</v>
      </c>
      <c r="H77" s="7">
        <f t="shared" ref="H77:H117" si="11">G77/F77</f>
        <v>0.98484848484848486</v>
      </c>
      <c r="I77" s="43" t="s">
        <v>299</v>
      </c>
      <c r="J77" s="43" t="s">
        <v>87</v>
      </c>
      <c r="K77" s="7">
        <f t="shared" ref="K77:K117" si="12">J77/I77</f>
        <v>0.84816753926701571</v>
      </c>
      <c r="L77" s="52">
        <v>214</v>
      </c>
      <c r="M77" s="52">
        <v>176</v>
      </c>
      <c r="N77" s="7">
        <f t="shared" ref="N77:N117" si="13">M77/L77</f>
        <v>0.82242990654205606</v>
      </c>
      <c r="O77" s="48" t="s">
        <v>351</v>
      </c>
      <c r="P77" s="48" t="s">
        <v>352</v>
      </c>
      <c r="Q77" s="7">
        <f t="shared" ref="Q77:Q117" si="14">P77/O77</f>
        <v>0.83043478260869563</v>
      </c>
      <c r="R77">
        <v>29</v>
      </c>
      <c r="S77" s="12"/>
    </row>
    <row r="78" spans="1:19" hidden="1" x14ac:dyDescent="0.25">
      <c r="A78" s="12">
        <v>41365</v>
      </c>
      <c r="B78" s="7">
        <v>0.9</v>
      </c>
      <c r="C78" s="43" t="s">
        <v>358</v>
      </c>
      <c r="D78" s="43" t="s">
        <v>359</v>
      </c>
      <c r="E78" s="7">
        <f t="shared" si="10"/>
        <v>0.8304568527918782</v>
      </c>
      <c r="F78" s="43" t="s">
        <v>360</v>
      </c>
      <c r="G78" s="43" t="s">
        <v>210</v>
      </c>
      <c r="H78" s="7">
        <f t="shared" si="11"/>
        <v>0.971830985915493</v>
      </c>
      <c r="I78" s="43" t="s">
        <v>361</v>
      </c>
      <c r="J78" s="43" t="s">
        <v>362</v>
      </c>
      <c r="K78" s="7">
        <f t="shared" si="12"/>
        <v>0.77272727272727271</v>
      </c>
      <c r="L78" s="52">
        <v>198</v>
      </c>
      <c r="M78" s="52">
        <v>170</v>
      </c>
      <c r="N78" s="7">
        <f t="shared" si="13"/>
        <v>0.85858585858585856</v>
      </c>
      <c r="O78" s="48" t="s">
        <v>363</v>
      </c>
      <c r="P78" s="48" t="s">
        <v>364</v>
      </c>
      <c r="Q78" s="7">
        <f t="shared" si="14"/>
        <v>0.82037037037037042</v>
      </c>
      <c r="R78">
        <v>30</v>
      </c>
      <c r="S78" s="12"/>
    </row>
    <row r="79" spans="1:19" hidden="1" x14ac:dyDescent="0.25">
      <c r="A79" s="12">
        <v>41395</v>
      </c>
      <c r="B79" s="7">
        <v>0.9</v>
      </c>
      <c r="C79" s="43" t="s">
        <v>371</v>
      </c>
      <c r="D79" s="43" t="s">
        <v>372</v>
      </c>
      <c r="E79" s="7">
        <f t="shared" si="10"/>
        <v>0.88254665203073546</v>
      </c>
      <c r="F79" s="43" t="s">
        <v>373</v>
      </c>
      <c r="G79" s="43" t="s">
        <v>260</v>
      </c>
      <c r="H79" s="7">
        <f t="shared" si="11"/>
        <v>0.93220338983050843</v>
      </c>
      <c r="I79" s="43" t="s">
        <v>232</v>
      </c>
      <c r="J79" s="43" t="s">
        <v>284</v>
      </c>
      <c r="K79" s="7">
        <f t="shared" si="12"/>
        <v>0.79558011049723754</v>
      </c>
      <c r="L79" s="52">
        <v>178</v>
      </c>
      <c r="M79" s="52">
        <v>158</v>
      </c>
      <c r="N79" s="7">
        <f t="shared" si="13"/>
        <v>0.88764044943820219</v>
      </c>
      <c r="O79" s="48" t="s">
        <v>374</v>
      </c>
      <c r="P79" s="48" t="s">
        <v>375</v>
      </c>
      <c r="Q79" s="7">
        <f t="shared" si="14"/>
        <v>0.90669371196754567</v>
      </c>
      <c r="R79">
        <v>27</v>
      </c>
      <c r="S79" s="12"/>
    </row>
    <row r="80" spans="1:19" hidden="1" x14ac:dyDescent="0.25">
      <c r="A80" s="12">
        <v>41426</v>
      </c>
      <c r="B80" s="7">
        <v>0.9</v>
      </c>
      <c r="C80" s="43" t="s">
        <v>385</v>
      </c>
      <c r="D80" s="43" t="s">
        <v>386</v>
      </c>
      <c r="E80" s="7">
        <f t="shared" si="10"/>
        <v>0.87425149700598803</v>
      </c>
      <c r="F80" s="43" t="s">
        <v>139</v>
      </c>
      <c r="G80" s="43" t="s">
        <v>136</v>
      </c>
      <c r="H80" s="7">
        <f t="shared" si="11"/>
        <v>0.95744680851063835</v>
      </c>
      <c r="I80" s="43" t="s">
        <v>70</v>
      </c>
      <c r="J80" s="43" t="s">
        <v>387</v>
      </c>
      <c r="K80" s="7">
        <f t="shared" si="12"/>
        <v>0.83783783783783783</v>
      </c>
      <c r="L80" s="52">
        <v>142</v>
      </c>
      <c r="M80" s="52">
        <v>125</v>
      </c>
      <c r="N80" s="7">
        <f t="shared" si="13"/>
        <v>0.88028169014084512</v>
      </c>
      <c r="O80" s="48" t="s">
        <v>388</v>
      </c>
      <c r="P80" s="48" t="s">
        <v>389</v>
      </c>
      <c r="Q80" s="7">
        <f t="shared" si="14"/>
        <v>0.87550200803212852</v>
      </c>
      <c r="R80">
        <v>23</v>
      </c>
      <c r="S80" s="12"/>
    </row>
    <row r="81" spans="1:22" hidden="1" x14ac:dyDescent="0.25">
      <c r="A81" s="12">
        <v>41456</v>
      </c>
      <c r="B81" s="7">
        <v>0.9</v>
      </c>
      <c r="C81" s="43" t="s">
        <v>392</v>
      </c>
      <c r="D81" s="43" t="s">
        <v>393</v>
      </c>
      <c r="E81" s="7">
        <f t="shared" si="10"/>
        <v>0.85031847133757965</v>
      </c>
      <c r="F81" s="43" t="s">
        <v>360</v>
      </c>
      <c r="G81" s="43" t="s">
        <v>394</v>
      </c>
      <c r="H81" s="7">
        <f t="shared" si="11"/>
        <v>0.95774647887323938</v>
      </c>
      <c r="I81" s="43" t="s">
        <v>79</v>
      </c>
      <c r="J81" s="43" t="s">
        <v>128</v>
      </c>
      <c r="K81" s="7">
        <f t="shared" si="12"/>
        <v>0.77464788732394363</v>
      </c>
      <c r="L81" s="52">
        <v>221</v>
      </c>
      <c r="M81" s="52">
        <v>195</v>
      </c>
      <c r="N81" s="7">
        <f t="shared" si="13"/>
        <v>0.88235294117647056</v>
      </c>
      <c r="O81" s="48" t="s">
        <v>395</v>
      </c>
      <c r="P81" s="48" t="s">
        <v>322</v>
      </c>
      <c r="Q81" s="7">
        <f t="shared" si="14"/>
        <v>0.85354691075514877</v>
      </c>
      <c r="R81">
        <v>36</v>
      </c>
      <c r="S81" s="186"/>
    </row>
    <row r="82" spans="1:22" hidden="1" x14ac:dyDescent="0.25">
      <c r="A82" s="12">
        <v>41487</v>
      </c>
      <c r="B82" s="7">
        <v>0.9</v>
      </c>
      <c r="C82" s="43" t="s">
        <v>398</v>
      </c>
      <c r="D82" s="43" t="s">
        <v>399</v>
      </c>
      <c r="E82" s="7">
        <f t="shared" si="10"/>
        <v>0.85032537960954446</v>
      </c>
      <c r="F82" s="43" t="s">
        <v>400</v>
      </c>
      <c r="G82" s="43" t="s">
        <v>139</v>
      </c>
      <c r="H82" s="7">
        <f t="shared" si="11"/>
        <v>0.90384615384615385</v>
      </c>
      <c r="I82" s="43" t="s">
        <v>328</v>
      </c>
      <c r="J82" s="43" t="s">
        <v>401</v>
      </c>
      <c r="K82" s="7">
        <f t="shared" si="12"/>
        <v>0.83597883597883593</v>
      </c>
      <c r="L82" s="52">
        <v>197</v>
      </c>
      <c r="M82" s="52">
        <v>168</v>
      </c>
      <c r="N82" s="7">
        <f t="shared" si="13"/>
        <v>0.85279187817258884</v>
      </c>
      <c r="O82" s="48" t="s">
        <v>402</v>
      </c>
      <c r="P82" s="48" t="s">
        <v>354</v>
      </c>
      <c r="Q82" s="7">
        <f t="shared" si="14"/>
        <v>0.84917355371900827</v>
      </c>
      <c r="R82">
        <v>32</v>
      </c>
      <c r="S82" s="186"/>
    </row>
    <row r="83" spans="1:22" hidden="1" x14ac:dyDescent="0.25">
      <c r="A83" s="12">
        <v>41518</v>
      </c>
      <c r="B83" s="7">
        <v>0.9</v>
      </c>
      <c r="C83" s="43" t="s">
        <v>406</v>
      </c>
      <c r="D83" s="43" t="s">
        <v>407</v>
      </c>
      <c r="E83" s="7">
        <f t="shared" ref="E83:E117" si="15">D83/C83</f>
        <v>0.86650774731823599</v>
      </c>
      <c r="F83" s="43" t="s">
        <v>200</v>
      </c>
      <c r="G83" s="43" t="s">
        <v>394</v>
      </c>
      <c r="H83" s="7">
        <f t="shared" si="11"/>
        <v>0.93150684931506844</v>
      </c>
      <c r="I83" s="43" t="s">
        <v>408</v>
      </c>
      <c r="J83" s="43" t="s">
        <v>127</v>
      </c>
      <c r="K83" s="7">
        <f t="shared" si="12"/>
        <v>0.81958762886597936</v>
      </c>
      <c r="L83" s="52">
        <v>190</v>
      </c>
      <c r="M83" s="52">
        <v>167</v>
      </c>
      <c r="N83" s="7">
        <f t="shared" si="13"/>
        <v>0.87894736842105259</v>
      </c>
      <c r="O83" s="48" t="s">
        <v>352</v>
      </c>
      <c r="P83" s="48" t="s">
        <v>338</v>
      </c>
      <c r="Q83" s="7">
        <f t="shared" si="14"/>
        <v>0.87172774869109948</v>
      </c>
      <c r="R83">
        <v>29</v>
      </c>
      <c r="S83" s="186"/>
    </row>
    <row r="84" spans="1:22" hidden="1" x14ac:dyDescent="0.25">
      <c r="A84" s="12">
        <v>41548</v>
      </c>
      <c r="B84" s="7">
        <v>0.9</v>
      </c>
      <c r="C84" s="43" t="s">
        <v>411</v>
      </c>
      <c r="D84" s="43" t="s">
        <v>211</v>
      </c>
      <c r="E84" s="7">
        <f t="shared" si="15"/>
        <v>0.86850477200424181</v>
      </c>
      <c r="F84" s="43" t="s">
        <v>125</v>
      </c>
      <c r="G84" s="43" t="s">
        <v>412</v>
      </c>
      <c r="H84" s="7">
        <f t="shared" si="11"/>
        <v>0.93023255813953487</v>
      </c>
      <c r="I84" s="43" t="s">
        <v>95</v>
      </c>
      <c r="J84" s="43" t="s">
        <v>63</v>
      </c>
      <c r="K84" s="7">
        <f t="shared" si="12"/>
        <v>0.83266932270916338</v>
      </c>
      <c r="L84" s="52">
        <v>176</v>
      </c>
      <c r="M84" s="52">
        <v>154</v>
      </c>
      <c r="N84" s="7">
        <f t="shared" si="13"/>
        <v>0.875</v>
      </c>
      <c r="O84" s="48" t="s">
        <v>413</v>
      </c>
      <c r="P84" s="48" t="s">
        <v>414</v>
      </c>
      <c r="Q84" s="7">
        <f t="shared" si="14"/>
        <v>0.87441860465116283</v>
      </c>
      <c r="R84">
        <v>35</v>
      </c>
      <c r="S84" s="186"/>
    </row>
    <row r="85" spans="1:22" hidden="1" x14ac:dyDescent="0.25">
      <c r="A85" s="12">
        <v>41579</v>
      </c>
      <c r="B85" s="7">
        <v>0.9</v>
      </c>
      <c r="C85" s="43" t="s">
        <v>420</v>
      </c>
      <c r="D85" s="43" t="s">
        <v>421</v>
      </c>
      <c r="E85" s="7">
        <f t="shared" si="15"/>
        <v>0.83844339622641506</v>
      </c>
      <c r="F85" s="43" t="s">
        <v>422</v>
      </c>
      <c r="G85" s="43" t="s">
        <v>200</v>
      </c>
      <c r="H85" s="7">
        <f t="shared" si="11"/>
        <v>0.86904761904761907</v>
      </c>
      <c r="I85" s="43" t="s">
        <v>272</v>
      </c>
      <c r="J85" s="43" t="s">
        <v>423</v>
      </c>
      <c r="K85" s="7">
        <f t="shared" si="12"/>
        <v>0.72105263157894739</v>
      </c>
      <c r="L85" s="52">
        <v>189</v>
      </c>
      <c r="M85" s="52">
        <v>157</v>
      </c>
      <c r="N85" s="7">
        <f t="shared" si="13"/>
        <v>0.8306878306878307</v>
      </c>
      <c r="O85" s="48" t="s">
        <v>424</v>
      </c>
      <c r="P85" s="48" t="s">
        <v>425</v>
      </c>
      <c r="Q85" s="7">
        <f t="shared" si="14"/>
        <v>0.89350649350649347</v>
      </c>
      <c r="R85">
        <v>46</v>
      </c>
      <c r="S85" s="186"/>
    </row>
    <row r="86" spans="1:22" hidden="1" x14ac:dyDescent="0.25">
      <c r="A86" s="12">
        <v>41609</v>
      </c>
      <c r="B86" s="7">
        <v>0.9</v>
      </c>
      <c r="C86" s="43" t="s">
        <v>426</v>
      </c>
      <c r="D86" s="43" t="s">
        <v>52</v>
      </c>
      <c r="E86" s="7">
        <f t="shared" si="15"/>
        <v>0.79217877094972067</v>
      </c>
      <c r="F86" s="43" t="s">
        <v>382</v>
      </c>
      <c r="G86" s="43" t="s">
        <v>367</v>
      </c>
      <c r="H86" s="7">
        <f t="shared" si="11"/>
        <v>0.87155963302752293</v>
      </c>
      <c r="I86" s="43" t="s">
        <v>79</v>
      </c>
      <c r="J86" s="43" t="s">
        <v>284</v>
      </c>
      <c r="K86" s="7">
        <f t="shared" si="12"/>
        <v>0.676056338028169</v>
      </c>
      <c r="L86" s="52">
        <v>164</v>
      </c>
      <c r="M86" s="52">
        <v>129</v>
      </c>
      <c r="N86" s="7">
        <f t="shared" si="13"/>
        <v>0.78658536585365857</v>
      </c>
      <c r="O86" s="48" t="s">
        <v>427</v>
      </c>
      <c r="P86" s="48" t="s">
        <v>428</v>
      </c>
      <c r="Q86" s="7">
        <f t="shared" si="14"/>
        <v>0.83374083129584353</v>
      </c>
      <c r="R86">
        <v>28</v>
      </c>
      <c r="S86" s="186"/>
    </row>
    <row r="87" spans="1:22" hidden="1" x14ac:dyDescent="0.25">
      <c r="A87" s="12">
        <v>41640</v>
      </c>
      <c r="B87" s="7">
        <v>0.9</v>
      </c>
      <c r="C87" s="43" t="s">
        <v>433</v>
      </c>
      <c r="D87" s="43" t="s">
        <v>247</v>
      </c>
      <c r="E87" s="7">
        <f t="shared" si="15"/>
        <v>0.78296382730455072</v>
      </c>
      <c r="F87" s="43" t="s">
        <v>183</v>
      </c>
      <c r="G87" s="43" t="s">
        <v>381</v>
      </c>
      <c r="H87" s="7">
        <f t="shared" si="11"/>
        <v>0.85365853658536583</v>
      </c>
      <c r="I87" s="43" t="s">
        <v>63</v>
      </c>
      <c r="J87" s="43" t="s">
        <v>129</v>
      </c>
      <c r="K87" s="7">
        <f t="shared" si="12"/>
        <v>0.69856459330143539</v>
      </c>
      <c r="L87" s="52">
        <v>167</v>
      </c>
      <c r="M87" s="52">
        <v>125</v>
      </c>
      <c r="N87" s="7">
        <f t="shared" si="13"/>
        <v>0.74850299401197606</v>
      </c>
      <c r="O87" s="48" t="s">
        <v>434</v>
      </c>
      <c r="P87" s="48" t="s">
        <v>435</v>
      </c>
      <c r="Q87" s="7">
        <f t="shared" si="14"/>
        <v>0.82018927444794953</v>
      </c>
      <c r="R87">
        <v>28</v>
      </c>
      <c r="S87" s="186"/>
    </row>
    <row r="88" spans="1:22" hidden="1" x14ac:dyDescent="0.25">
      <c r="A88" s="12">
        <v>41671</v>
      </c>
      <c r="B88" s="7">
        <v>0.9</v>
      </c>
      <c r="C88" s="43" t="s">
        <v>439</v>
      </c>
      <c r="D88" s="43" t="s">
        <v>440</v>
      </c>
      <c r="E88" s="7">
        <f t="shared" si="15"/>
        <v>0.7863046044864227</v>
      </c>
      <c r="F88" s="43" t="s">
        <v>199</v>
      </c>
      <c r="G88" s="43" t="s">
        <v>394</v>
      </c>
      <c r="H88" s="7">
        <f t="shared" si="11"/>
        <v>0.67326732673267331</v>
      </c>
      <c r="I88" s="43" t="s">
        <v>441</v>
      </c>
      <c r="J88" s="43" t="s">
        <v>80</v>
      </c>
      <c r="K88" s="7">
        <f t="shared" si="12"/>
        <v>0.68372093023255809</v>
      </c>
      <c r="L88" s="52">
        <v>173</v>
      </c>
      <c r="M88" s="52">
        <v>132</v>
      </c>
      <c r="N88" s="7">
        <f t="shared" si="13"/>
        <v>0.76300578034682076</v>
      </c>
      <c r="O88" s="48" t="s">
        <v>217</v>
      </c>
      <c r="P88" s="48" t="s">
        <v>442</v>
      </c>
      <c r="Q88" s="7">
        <f t="shared" si="14"/>
        <v>0.89106145251396651</v>
      </c>
      <c r="R88">
        <v>24</v>
      </c>
      <c r="S88" s="186"/>
    </row>
    <row r="89" spans="1:22" hidden="1" x14ac:dyDescent="0.25">
      <c r="A89" s="12">
        <v>41699</v>
      </c>
      <c r="B89" s="7">
        <v>0.9</v>
      </c>
      <c r="C89" s="43" t="s">
        <v>448</v>
      </c>
      <c r="D89" s="43" t="s">
        <v>449</v>
      </c>
      <c r="E89" s="7">
        <f t="shared" si="15"/>
        <v>0.79210779595765157</v>
      </c>
      <c r="F89" s="43" t="s">
        <v>125</v>
      </c>
      <c r="G89" s="43" t="s">
        <v>450</v>
      </c>
      <c r="H89" s="7">
        <f t="shared" si="11"/>
        <v>0.83720930232558144</v>
      </c>
      <c r="I89" s="43" t="s">
        <v>390</v>
      </c>
      <c r="J89" s="43" t="s">
        <v>82</v>
      </c>
      <c r="K89" s="7">
        <f t="shared" si="12"/>
        <v>0.67241379310344829</v>
      </c>
      <c r="L89" s="52">
        <v>189</v>
      </c>
      <c r="M89" s="52">
        <v>156</v>
      </c>
      <c r="N89" s="7">
        <f t="shared" si="13"/>
        <v>0.82539682539682535</v>
      </c>
      <c r="O89" s="48" t="s">
        <v>262</v>
      </c>
      <c r="P89" s="48" t="s">
        <v>451</v>
      </c>
      <c r="Q89" s="7">
        <f t="shared" si="14"/>
        <v>0.88909774436090228</v>
      </c>
      <c r="R89">
        <v>22</v>
      </c>
      <c r="S89" s="186"/>
    </row>
    <row r="90" spans="1:22" hidden="1" x14ac:dyDescent="0.25">
      <c r="A90" s="12">
        <v>41730</v>
      </c>
      <c r="B90" s="7">
        <v>0.9</v>
      </c>
      <c r="C90" s="43" t="s">
        <v>453</v>
      </c>
      <c r="D90" s="43" t="s">
        <v>399</v>
      </c>
      <c r="E90" s="7">
        <f t="shared" si="15"/>
        <v>0.77089478859390359</v>
      </c>
      <c r="F90" s="43" t="s">
        <v>113</v>
      </c>
      <c r="G90" s="43" t="s">
        <v>454</v>
      </c>
      <c r="H90" s="7">
        <f t="shared" si="11"/>
        <v>0.85416666666666663</v>
      </c>
      <c r="I90" s="43" t="s">
        <v>455</v>
      </c>
      <c r="J90" s="43" t="s">
        <v>97</v>
      </c>
      <c r="K90" s="7">
        <f t="shared" si="12"/>
        <v>0.7142857142857143</v>
      </c>
      <c r="L90" s="52">
        <v>165</v>
      </c>
      <c r="M90" s="52">
        <v>109</v>
      </c>
      <c r="N90" s="7">
        <f t="shared" si="13"/>
        <v>0.66060606060606064</v>
      </c>
      <c r="O90" s="48" t="s">
        <v>456</v>
      </c>
      <c r="P90" s="48" t="s">
        <v>457</v>
      </c>
      <c r="Q90" s="7">
        <f t="shared" si="14"/>
        <v>0.82092555331991957</v>
      </c>
      <c r="R90">
        <v>37</v>
      </c>
      <c r="S90" s="186"/>
    </row>
    <row r="91" spans="1:22" hidden="1" x14ac:dyDescent="0.25">
      <c r="A91" s="12">
        <v>41760</v>
      </c>
      <c r="B91" s="7">
        <v>0.9</v>
      </c>
      <c r="C91" s="43" t="s">
        <v>460</v>
      </c>
      <c r="D91" s="43" t="s">
        <v>461</v>
      </c>
      <c r="E91" s="7">
        <f t="shared" si="15"/>
        <v>0.78260869565217395</v>
      </c>
      <c r="F91" s="43" t="s">
        <v>123</v>
      </c>
      <c r="G91" s="43" t="s">
        <v>368</v>
      </c>
      <c r="H91" s="7">
        <f t="shared" si="11"/>
        <v>0.89010989010989006</v>
      </c>
      <c r="I91" s="43" t="s">
        <v>462</v>
      </c>
      <c r="J91" s="43" t="s">
        <v>119</v>
      </c>
      <c r="K91" s="7">
        <f t="shared" si="12"/>
        <v>0.70491803278688525</v>
      </c>
      <c r="L91" s="52">
        <v>176</v>
      </c>
      <c r="M91" s="52">
        <v>121</v>
      </c>
      <c r="N91" s="7">
        <f t="shared" si="13"/>
        <v>0.6875</v>
      </c>
      <c r="O91" s="48" t="s">
        <v>463</v>
      </c>
      <c r="P91" s="48" t="s">
        <v>464</v>
      </c>
      <c r="Q91" s="7">
        <f t="shared" si="14"/>
        <v>0.83433133732534925</v>
      </c>
      <c r="R91">
        <v>39</v>
      </c>
      <c r="S91" s="186"/>
    </row>
    <row r="92" spans="1:22" hidden="1" x14ac:dyDescent="0.25">
      <c r="A92" s="12">
        <v>41791</v>
      </c>
      <c r="B92" s="7">
        <v>0.9</v>
      </c>
      <c r="C92" s="43" t="s">
        <v>466</v>
      </c>
      <c r="D92" s="43" t="s">
        <v>467</v>
      </c>
      <c r="E92" s="7">
        <f t="shared" si="15"/>
        <v>0.82139148494288683</v>
      </c>
      <c r="F92" s="43" t="s">
        <v>368</v>
      </c>
      <c r="G92" s="43" t="s">
        <v>200</v>
      </c>
      <c r="H92" s="7">
        <f t="shared" si="11"/>
        <v>0.90123456790123457</v>
      </c>
      <c r="I92" s="43" t="s">
        <v>300</v>
      </c>
      <c r="J92" s="43" t="s">
        <v>219</v>
      </c>
      <c r="K92" s="7">
        <f t="shared" si="12"/>
        <v>0.61538461538461542</v>
      </c>
      <c r="L92" s="52">
        <v>173</v>
      </c>
      <c r="M92" s="52">
        <v>135</v>
      </c>
      <c r="N92" s="7">
        <f t="shared" si="13"/>
        <v>0.78034682080924855</v>
      </c>
      <c r="O92" s="48" t="s">
        <v>468</v>
      </c>
      <c r="P92" s="48" t="s">
        <v>469</v>
      </c>
      <c r="Q92" s="7">
        <f t="shared" si="14"/>
        <v>0.89373814041745736</v>
      </c>
      <c r="R92">
        <v>28</v>
      </c>
      <c r="S92" s="186"/>
    </row>
    <row r="93" spans="1:22" hidden="1" x14ac:dyDescent="0.25">
      <c r="A93" s="12">
        <v>41821</v>
      </c>
      <c r="B93" s="7">
        <v>0.9</v>
      </c>
      <c r="C93" s="43" t="s">
        <v>471</v>
      </c>
      <c r="D93" s="43" t="s">
        <v>472</v>
      </c>
      <c r="E93" s="7">
        <f t="shared" si="15"/>
        <v>0.83103879849812268</v>
      </c>
      <c r="F93" s="43" t="s">
        <v>454</v>
      </c>
      <c r="G93" s="43" t="s">
        <v>473</v>
      </c>
      <c r="H93" s="7">
        <f t="shared" si="11"/>
        <v>0.85365853658536583</v>
      </c>
      <c r="I93" s="43" t="s">
        <v>452</v>
      </c>
      <c r="J93" s="43" t="s">
        <v>219</v>
      </c>
      <c r="K93" s="7">
        <f t="shared" si="12"/>
        <v>0.75167785234899331</v>
      </c>
      <c r="L93" s="52">
        <v>137</v>
      </c>
      <c r="M93" s="52">
        <v>109</v>
      </c>
      <c r="N93" s="7">
        <f t="shared" si="13"/>
        <v>0.79562043795620441</v>
      </c>
      <c r="O93" s="48" t="s">
        <v>474</v>
      </c>
      <c r="P93" s="48" t="s">
        <v>322</v>
      </c>
      <c r="Q93" s="7">
        <f t="shared" si="14"/>
        <v>0.86542923433874708</v>
      </c>
      <c r="R93">
        <v>28</v>
      </c>
      <c r="S93" s="186"/>
    </row>
    <row r="94" spans="1:22" hidden="1" x14ac:dyDescent="0.25">
      <c r="A94" s="12">
        <v>41852</v>
      </c>
      <c r="B94" s="7">
        <v>0.9</v>
      </c>
      <c r="C94" s="43" t="s">
        <v>411</v>
      </c>
      <c r="D94" s="43" t="s">
        <v>477</v>
      </c>
      <c r="E94" s="7">
        <f t="shared" si="15"/>
        <v>0.84199363732767762</v>
      </c>
      <c r="F94" s="43" t="s">
        <v>140</v>
      </c>
      <c r="G94" s="43" t="s">
        <v>260</v>
      </c>
      <c r="H94" s="7">
        <f t="shared" si="11"/>
        <v>0.88709677419354838</v>
      </c>
      <c r="I94" s="43" t="s">
        <v>273</v>
      </c>
      <c r="J94" s="43" t="s">
        <v>88</v>
      </c>
      <c r="K94" s="7">
        <f t="shared" si="12"/>
        <v>0.72580645161290325</v>
      </c>
      <c r="L94" s="52">
        <v>154</v>
      </c>
      <c r="M94" s="52">
        <v>120</v>
      </c>
      <c r="N94" s="7">
        <f t="shared" si="13"/>
        <v>0.77922077922077926</v>
      </c>
      <c r="O94" s="48" t="s">
        <v>478</v>
      </c>
      <c r="P94" s="48" t="s">
        <v>402</v>
      </c>
      <c r="Q94" s="7">
        <f t="shared" si="14"/>
        <v>0.89463955637707948</v>
      </c>
      <c r="R94">
        <v>28</v>
      </c>
      <c r="S94" s="186"/>
    </row>
    <row r="95" spans="1:22" s="186" customFormat="1" hidden="1" x14ac:dyDescent="0.25">
      <c r="A95" s="12">
        <v>41883</v>
      </c>
      <c r="B95" s="7">
        <v>0.9</v>
      </c>
      <c r="C95" s="43" t="s">
        <v>484</v>
      </c>
      <c r="D95" s="43" t="s">
        <v>485</v>
      </c>
      <c r="E95" s="7">
        <f t="shared" si="15"/>
        <v>0.85215605749486656</v>
      </c>
      <c r="F95" s="43" t="s">
        <v>486</v>
      </c>
      <c r="G95" s="43" t="s">
        <v>487</v>
      </c>
      <c r="H95" s="7">
        <f t="shared" si="11"/>
        <v>0.82352941176470584</v>
      </c>
      <c r="I95" s="43" t="s">
        <v>79</v>
      </c>
      <c r="J95" s="43" t="s">
        <v>401</v>
      </c>
      <c r="K95" s="7">
        <f t="shared" si="12"/>
        <v>0.74178403755868549</v>
      </c>
      <c r="L95" s="52">
        <v>193</v>
      </c>
      <c r="M95" s="52">
        <v>166</v>
      </c>
      <c r="N95" s="7">
        <f t="shared" si="13"/>
        <v>0.86010362694300513</v>
      </c>
      <c r="O95" s="48" t="s">
        <v>488</v>
      </c>
      <c r="P95" s="48" t="s">
        <v>489</v>
      </c>
      <c r="Q95" s="7">
        <f t="shared" si="14"/>
        <v>0.89748549323017413</v>
      </c>
      <c r="R95" s="186">
        <v>34</v>
      </c>
      <c r="U95" s="32"/>
      <c r="V95" s="32"/>
    </row>
    <row r="96" spans="1:22" s="186" customFormat="1" hidden="1" x14ac:dyDescent="0.25">
      <c r="A96" s="12">
        <v>41913</v>
      </c>
      <c r="B96" s="7">
        <v>0.9</v>
      </c>
      <c r="C96" s="43" t="s">
        <v>490</v>
      </c>
      <c r="D96" s="43" t="s">
        <v>491</v>
      </c>
      <c r="E96" s="7">
        <f t="shared" si="15"/>
        <v>0.77875329236172086</v>
      </c>
      <c r="F96" s="43" t="s">
        <v>220</v>
      </c>
      <c r="G96" s="43" t="s">
        <v>260</v>
      </c>
      <c r="H96" s="7">
        <f t="shared" si="11"/>
        <v>0.72368421052631582</v>
      </c>
      <c r="I96" s="43" t="s">
        <v>458</v>
      </c>
      <c r="J96" s="43" t="s">
        <v>182</v>
      </c>
      <c r="K96" s="7">
        <f t="shared" si="12"/>
        <v>0.68871595330739299</v>
      </c>
      <c r="L96" s="52">
        <v>233</v>
      </c>
      <c r="M96" s="52">
        <v>166</v>
      </c>
      <c r="N96" s="7">
        <f t="shared" si="13"/>
        <v>0.71244635193133043</v>
      </c>
      <c r="O96" s="48" t="s">
        <v>492</v>
      </c>
      <c r="P96" s="48" t="s">
        <v>493</v>
      </c>
      <c r="Q96" s="7">
        <f t="shared" si="14"/>
        <v>0.8534031413612565</v>
      </c>
      <c r="R96" s="186">
        <v>28</v>
      </c>
      <c r="U96" s="32"/>
      <c r="V96" s="32"/>
    </row>
    <row r="97" spans="1:22" s="186" customFormat="1" hidden="1" x14ac:dyDescent="0.25">
      <c r="A97" s="12">
        <v>41944</v>
      </c>
      <c r="B97" s="7">
        <v>0.9</v>
      </c>
      <c r="C97" s="43" t="s">
        <v>467</v>
      </c>
      <c r="D97" s="43" t="s">
        <v>503</v>
      </c>
      <c r="E97" s="7">
        <f t="shared" si="15"/>
        <v>0.78002528445006325</v>
      </c>
      <c r="F97" s="43" t="s">
        <v>124</v>
      </c>
      <c r="G97" s="43" t="s">
        <v>380</v>
      </c>
      <c r="H97" s="7">
        <f t="shared" si="11"/>
        <v>0.9</v>
      </c>
      <c r="I97" s="43" t="s">
        <v>97</v>
      </c>
      <c r="J97" s="43" t="s">
        <v>111</v>
      </c>
      <c r="K97" s="7">
        <f t="shared" si="12"/>
        <v>0.67567567567567566</v>
      </c>
      <c r="L97" s="52">
        <v>138</v>
      </c>
      <c r="M97" s="52">
        <v>106</v>
      </c>
      <c r="N97" s="7">
        <f t="shared" si="13"/>
        <v>0.76811594202898548</v>
      </c>
      <c r="O97" s="48" t="s">
        <v>457</v>
      </c>
      <c r="P97" s="48" t="s">
        <v>504</v>
      </c>
      <c r="Q97" s="7">
        <f t="shared" si="14"/>
        <v>0.81372549019607843</v>
      </c>
      <c r="R97" s="186">
        <v>16</v>
      </c>
      <c r="U97" s="32"/>
      <c r="V97" s="32"/>
    </row>
    <row r="98" spans="1:22" hidden="1" x14ac:dyDescent="0.25">
      <c r="A98" s="12">
        <v>41974</v>
      </c>
      <c r="B98" s="7">
        <v>0.9</v>
      </c>
      <c r="C98" s="52">
        <v>819</v>
      </c>
      <c r="D98" s="79">
        <v>622</v>
      </c>
      <c r="E98" s="7">
        <f t="shared" si="15"/>
        <v>0.75946275946275943</v>
      </c>
      <c r="F98" s="52">
        <v>47</v>
      </c>
      <c r="G98" s="52">
        <v>38</v>
      </c>
      <c r="H98" s="7">
        <f t="shared" si="11"/>
        <v>0.80851063829787229</v>
      </c>
      <c r="I98" s="52">
        <v>168</v>
      </c>
      <c r="J98" s="52">
        <v>105</v>
      </c>
      <c r="K98" s="7">
        <f t="shared" si="12"/>
        <v>0.625</v>
      </c>
      <c r="L98" s="52">
        <v>137</v>
      </c>
      <c r="M98" s="52">
        <v>106</v>
      </c>
      <c r="N98" s="7">
        <f t="shared" si="13"/>
        <v>0.77372262773722633</v>
      </c>
      <c r="O98" s="53">
        <v>467</v>
      </c>
      <c r="P98" s="53">
        <v>373</v>
      </c>
      <c r="Q98" s="7">
        <f t="shared" si="14"/>
        <v>0.79871520342612423</v>
      </c>
      <c r="R98" s="120">
        <v>2</v>
      </c>
      <c r="S98" s="12"/>
    </row>
    <row r="99" spans="1:22" s="186" customFormat="1" hidden="1" x14ac:dyDescent="0.25">
      <c r="A99" s="12">
        <v>42005</v>
      </c>
      <c r="B99" s="7">
        <v>0.9</v>
      </c>
      <c r="C99" s="52">
        <v>821</v>
      </c>
      <c r="D99" s="79">
        <v>636</v>
      </c>
      <c r="E99" s="7">
        <f t="shared" si="15"/>
        <v>0.77466504263093783</v>
      </c>
      <c r="F99" s="52">
        <v>59</v>
      </c>
      <c r="G99" s="52">
        <v>50</v>
      </c>
      <c r="H99" s="7">
        <f t="shared" si="11"/>
        <v>0.84745762711864403</v>
      </c>
      <c r="I99" s="52">
        <v>233</v>
      </c>
      <c r="J99" s="52">
        <v>162</v>
      </c>
      <c r="K99" s="7">
        <f t="shared" si="12"/>
        <v>0.69527896995708149</v>
      </c>
      <c r="L99" s="52">
        <v>140</v>
      </c>
      <c r="M99" s="52">
        <v>112</v>
      </c>
      <c r="N99" s="7">
        <f t="shared" si="13"/>
        <v>0.8</v>
      </c>
      <c r="O99" s="53">
        <v>389</v>
      </c>
      <c r="P99" s="53">
        <v>312</v>
      </c>
      <c r="Q99" s="7">
        <f t="shared" si="14"/>
        <v>0.80205655526992292</v>
      </c>
      <c r="R99" s="120">
        <v>7</v>
      </c>
      <c r="S99" s="12"/>
      <c r="U99" s="32"/>
      <c r="V99" s="32"/>
    </row>
    <row r="100" spans="1:22" s="186" customFormat="1" hidden="1" x14ac:dyDescent="0.25">
      <c r="A100" s="12">
        <v>42036</v>
      </c>
      <c r="B100" s="7">
        <v>0.9</v>
      </c>
      <c r="C100" s="52">
        <v>859</v>
      </c>
      <c r="D100" s="79">
        <v>683</v>
      </c>
      <c r="E100" s="7">
        <f t="shared" si="15"/>
        <v>0.79511059371362047</v>
      </c>
      <c r="F100" s="52">
        <v>72</v>
      </c>
      <c r="G100" s="52">
        <v>61</v>
      </c>
      <c r="H100" s="7">
        <f t="shared" si="11"/>
        <v>0.84722222222222221</v>
      </c>
      <c r="I100" s="52">
        <v>206</v>
      </c>
      <c r="J100" s="52">
        <v>148</v>
      </c>
      <c r="K100" s="7">
        <f t="shared" si="12"/>
        <v>0.71844660194174759</v>
      </c>
      <c r="L100" s="52">
        <v>135</v>
      </c>
      <c r="M100" s="52">
        <v>107</v>
      </c>
      <c r="N100" s="7">
        <f t="shared" si="13"/>
        <v>0.79259259259259263</v>
      </c>
      <c r="O100" s="53">
        <v>446</v>
      </c>
      <c r="P100" s="53">
        <v>367</v>
      </c>
      <c r="Q100" s="7">
        <f t="shared" si="14"/>
        <v>0.82286995515695072</v>
      </c>
      <c r="R100" s="120">
        <v>1</v>
      </c>
      <c r="S100" s="12"/>
      <c r="U100" s="32"/>
      <c r="V100" s="32"/>
    </row>
    <row r="101" spans="1:22" s="186" customFormat="1" hidden="1" x14ac:dyDescent="0.25">
      <c r="A101" s="12">
        <v>42064</v>
      </c>
      <c r="B101" s="7">
        <v>0.9</v>
      </c>
      <c r="C101" s="52">
        <v>941</v>
      </c>
      <c r="D101" s="79">
        <v>701</v>
      </c>
      <c r="E101" s="7">
        <f t="shared" si="15"/>
        <v>0.74495217853347506</v>
      </c>
      <c r="F101" s="52">
        <v>59</v>
      </c>
      <c r="G101" s="52">
        <v>38</v>
      </c>
      <c r="H101" s="7">
        <f t="shared" si="11"/>
        <v>0.64406779661016944</v>
      </c>
      <c r="I101" s="52">
        <v>243</v>
      </c>
      <c r="J101" s="52">
        <v>152</v>
      </c>
      <c r="K101" s="7">
        <f t="shared" si="12"/>
        <v>0.62551440329218111</v>
      </c>
      <c r="L101" s="52">
        <v>142</v>
      </c>
      <c r="M101" s="52">
        <v>106</v>
      </c>
      <c r="N101" s="7">
        <f t="shared" si="13"/>
        <v>0.74647887323943662</v>
      </c>
      <c r="O101" s="53">
        <v>497</v>
      </c>
      <c r="P101" s="53">
        <v>405</v>
      </c>
      <c r="Q101" s="7">
        <f t="shared" si="14"/>
        <v>0.81488933601609659</v>
      </c>
      <c r="R101" s="120">
        <v>8</v>
      </c>
      <c r="S101" s="12"/>
      <c r="U101" s="32"/>
      <c r="V101" s="32"/>
    </row>
    <row r="102" spans="1:22" s="186" customFormat="1" hidden="1" x14ac:dyDescent="0.25">
      <c r="A102" s="12">
        <v>42095</v>
      </c>
      <c r="B102" s="7">
        <v>0.9</v>
      </c>
      <c r="C102" s="52">
        <v>931</v>
      </c>
      <c r="D102" s="79">
        <v>712</v>
      </c>
      <c r="E102" s="7">
        <f t="shared" si="15"/>
        <v>0.76476906552094526</v>
      </c>
      <c r="F102" s="52">
        <v>59</v>
      </c>
      <c r="G102" s="52">
        <v>46</v>
      </c>
      <c r="H102" s="7">
        <f t="shared" si="11"/>
        <v>0.77966101694915257</v>
      </c>
      <c r="I102" s="52">
        <v>237</v>
      </c>
      <c r="J102" s="52">
        <v>160</v>
      </c>
      <c r="K102" s="7">
        <f t="shared" si="12"/>
        <v>0.67510548523206748</v>
      </c>
      <c r="L102" s="52">
        <v>160</v>
      </c>
      <c r="M102" s="52">
        <v>95</v>
      </c>
      <c r="N102" s="7">
        <f t="shared" si="13"/>
        <v>0.59375</v>
      </c>
      <c r="O102" s="53">
        <v>475</v>
      </c>
      <c r="P102" s="53">
        <v>411</v>
      </c>
      <c r="Q102" s="7">
        <f t="shared" si="14"/>
        <v>0.86526315789473685</v>
      </c>
      <c r="R102" s="120">
        <v>3</v>
      </c>
      <c r="S102" s="12"/>
      <c r="U102" s="32"/>
      <c r="V102" s="32"/>
    </row>
    <row r="103" spans="1:22" s="186" customFormat="1" x14ac:dyDescent="0.25">
      <c r="A103" s="12">
        <v>42125</v>
      </c>
      <c r="B103" s="7">
        <v>0.9</v>
      </c>
      <c r="C103" s="52">
        <v>770</v>
      </c>
      <c r="D103" s="79">
        <v>563</v>
      </c>
      <c r="E103" s="7">
        <f t="shared" si="15"/>
        <v>0.73116883116883113</v>
      </c>
      <c r="F103" s="52">
        <v>34</v>
      </c>
      <c r="G103" s="52">
        <v>25</v>
      </c>
      <c r="H103" s="7">
        <f t="shared" si="11"/>
        <v>0.73529411764705888</v>
      </c>
      <c r="I103" s="52">
        <v>196</v>
      </c>
      <c r="J103" s="52">
        <v>140</v>
      </c>
      <c r="K103" s="7">
        <f t="shared" si="12"/>
        <v>0.7142857142857143</v>
      </c>
      <c r="L103" s="52">
        <v>126</v>
      </c>
      <c r="M103" s="52">
        <v>81</v>
      </c>
      <c r="N103" s="7">
        <f t="shared" si="13"/>
        <v>0.6428571428571429</v>
      </c>
      <c r="O103" s="53">
        <v>414</v>
      </c>
      <c r="P103" s="53">
        <v>317</v>
      </c>
      <c r="Q103" s="7">
        <f t="shared" si="14"/>
        <v>0.7657004830917874</v>
      </c>
      <c r="R103" s="120">
        <v>6</v>
      </c>
      <c r="S103" s="12"/>
      <c r="U103" s="32"/>
      <c r="V103" s="32"/>
    </row>
    <row r="104" spans="1:22" s="186" customFormat="1" x14ac:dyDescent="0.25">
      <c r="A104" s="12">
        <v>42156</v>
      </c>
      <c r="B104" s="7">
        <v>0.9</v>
      </c>
      <c r="C104" s="52">
        <v>811</v>
      </c>
      <c r="D104" s="79">
        <v>637</v>
      </c>
      <c r="E104" s="7">
        <f t="shared" si="15"/>
        <v>0.78545006165228115</v>
      </c>
      <c r="F104" s="52">
        <v>55</v>
      </c>
      <c r="G104" s="52">
        <v>46</v>
      </c>
      <c r="H104" s="7">
        <f t="shared" si="11"/>
        <v>0.83636363636363631</v>
      </c>
      <c r="I104" s="52">
        <v>223</v>
      </c>
      <c r="J104" s="52">
        <v>170</v>
      </c>
      <c r="K104" s="7">
        <f t="shared" si="12"/>
        <v>0.7623318385650224</v>
      </c>
      <c r="L104" s="52">
        <v>123</v>
      </c>
      <c r="M104" s="52">
        <v>85</v>
      </c>
      <c r="N104" s="7">
        <f t="shared" si="13"/>
        <v>0.69105691056910568</v>
      </c>
      <c r="O104" s="53">
        <v>410</v>
      </c>
      <c r="P104" s="53">
        <v>336</v>
      </c>
      <c r="Q104" s="7">
        <f t="shared" si="14"/>
        <v>0.81951219512195117</v>
      </c>
      <c r="R104" s="120">
        <v>2</v>
      </c>
      <c r="S104" s="12"/>
      <c r="U104" s="32"/>
      <c r="V104" s="32"/>
    </row>
    <row r="105" spans="1:22" s="186" customFormat="1" x14ac:dyDescent="0.25">
      <c r="A105" s="12">
        <v>42200</v>
      </c>
      <c r="B105" s="7">
        <v>0.9</v>
      </c>
      <c r="C105" s="52">
        <v>761</v>
      </c>
      <c r="D105" s="79">
        <v>601</v>
      </c>
      <c r="E105" s="7">
        <f t="shared" si="15"/>
        <v>0.78975032851511173</v>
      </c>
      <c r="F105" s="52">
        <v>49</v>
      </c>
      <c r="G105" s="52">
        <v>34</v>
      </c>
      <c r="H105" s="7">
        <f t="shared" si="11"/>
        <v>0.69387755102040816</v>
      </c>
      <c r="I105" s="52">
        <v>213</v>
      </c>
      <c r="J105" s="52">
        <v>155</v>
      </c>
      <c r="K105" s="7">
        <f t="shared" si="12"/>
        <v>0.72769953051643188</v>
      </c>
      <c r="L105" s="52">
        <v>111</v>
      </c>
      <c r="M105" s="52">
        <v>81</v>
      </c>
      <c r="N105" s="7">
        <f t="shared" si="13"/>
        <v>0.72972972972972971</v>
      </c>
      <c r="O105" s="53">
        <v>388</v>
      </c>
      <c r="P105" s="53">
        <v>331</v>
      </c>
      <c r="Q105" s="7">
        <f t="shared" si="14"/>
        <v>0.85309278350515461</v>
      </c>
      <c r="R105" s="120">
        <v>8</v>
      </c>
      <c r="S105" s="12"/>
      <c r="U105" s="32"/>
      <c r="V105" s="32"/>
    </row>
    <row r="106" spans="1:22" s="186" customFormat="1" x14ac:dyDescent="0.25">
      <c r="A106" s="12">
        <v>42217</v>
      </c>
      <c r="B106" s="7">
        <v>0.9</v>
      </c>
      <c r="C106" s="52">
        <v>780</v>
      </c>
      <c r="D106" s="79">
        <v>627</v>
      </c>
      <c r="E106" s="7">
        <f t="shared" si="15"/>
        <v>0.80384615384615388</v>
      </c>
      <c r="F106" s="52">
        <v>48</v>
      </c>
      <c r="G106" s="52">
        <v>42</v>
      </c>
      <c r="H106" s="7">
        <f t="shared" si="11"/>
        <v>0.875</v>
      </c>
      <c r="I106" s="52">
        <v>207</v>
      </c>
      <c r="J106" s="52">
        <v>145</v>
      </c>
      <c r="K106" s="7">
        <f t="shared" si="12"/>
        <v>0.70048309178743962</v>
      </c>
      <c r="L106" s="52">
        <v>98</v>
      </c>
      <c r="M106" s="52">
        <v>67</v>
      </c>
      <c r="N106" s="7">
        <f t="shared" si="13"/>
        <v>0.68367346938775508</v>
      </c>
      <c r="O106" s="53">
        <v>427</v>
      </c>
      <c r="P106" s="53">
        <v>373</v>
      </c>
      <c r="Q106" s="7">
        <f t="shared" si="14"/>
        <v>0.87353629976580793</v>
      </c>
      <c r="R106" s="120">
        <v>0</v>
      </c>
      <c r="S106" s="12"/>
      <c r="U106" s="32"/>
      <c r="V106" s="32"/>
    </row>
    <row r="107" spans="1:22" s="186" customFormat="1" x14ac:dyDescent="0.25">
      <c r="A107" s="12">
        <v>42262</v>
      </c>
      <c r="B107" s="7">
        <v>0.9</v>
      </c>
      <c r="C107" s="52">
        <v>724</v>
      </c>
      <c r="D107" s="79">
        <v>588</v>
      </c>
      <c r="E107" s="7">
        <f t="shared" si="15"/>
        <v>0.81215469613259672</v>
      </c>
      <c r="F107" s="52">
        <v>36</v>
      </c>
      <c r="G107" s="52">
        <v>30</v>
      </c>
      <c r="H107" s="7">
        <f t="shared" si="11"/>
        <v>0.83333333333333337</v>
      </c>
      <c r="I107" s="52">
        <v>202</v>
      </c>
      <c r="J107" s="52">
        <v>130</v>
      </c>
      <c r="K107" s="7">
        <f t="shared" si="12"/>
        <v>0.64356435643564358</v>
      </c>
      <c r="L107" s="52">
        <v>113</v>
      </c>
      <c r="M107" s="52">
        <v>87</v>
      </c>
      <c r="N107" s="7">
        <f t="shared" si="13"/>
        <v>0.76991150442477874</v>
      </c>
      <c r="O107" s="53">
        <v>373</v>
      </c>
      <c r="P107" s="53">
        <v>341</v>
      </c>
      <c r="Q107" s="7">
        <f t="shared" si="14"/>
        <v>0.91420911528150139</v>
      </c>
      <c r="R107" s="120">
        <v>0</v>
      </c>
      <c r="S107" s="12"/>
      <c r="U107" s="32"/>
      <c r="V107" s="32"/>
    </row>
    <row r="108" spans="1:22" s="186" customFormat="1" x14ac:dyDescent="0.25">
      <c r="A108" s="12">
        <v>42292</v>
      </c>
      <c r="B108" s="7">
        <v>0.9</v>
      </c>
      <c r="C108" s="52">
        <v>779</v>
      </c>
      <c r="D108" s="79">
        <v>661</v>
      </c>
      <c r="E108" s="7">
        <f t="shared" si="15"/>
        <v>0.8485237483953787</v>
      </c>
      <c r="F108" s="52">
        <v>56</v>
      </c>
      <c r="G108" s="52">
        <v>47</v>
      </c>
      <c r="H108" s="7">
        <f t="shared" si="11"/>
        <v>0.8392857142857143</v>
      </c>
      <c r="I108" s="52">
        <v>231</v>
      </c>
      <c r="J108" s="52">
        <v>187</v>
      </c>
      <c r="K108" s="7">
        <f t="shared" si="12"/>
        <v>0.80952380952380953</v>
      </c>
      <c r="L108" s="52">
        <v>129</v>
      </c>
      <c r="M108" s="52">
        <v>112</v>
      </c>
      <c r="N108" s="7">
        <f t="shared" si="13"/>
        <v>0.86821705426356588</v>
      </c>
      <c r="O108" s="53">
        <v>363</v>
      </c>
      <c r="P108" s="53">
        <v>315</v>
      </c>
      <c r="Q108" s="7">
        <f t="shared" si="14"/>
        <v>0.86776859504132231</v>
      </c>
      <c r="R108" s="120">
        <v>9</v>
      </c>
      <c r="S108" s="12"/>
      <c r="U108" s="32"/>
      <c r="V108" s="32"/>
    </row>
    <row r="109" spans="1:22" s="186" customFormat="1" x14ac:dyDescent="0.25">
      <c r="A109" s="12">
        <v>42309</v>
      </c>
      <c r="B109" s="7">
        <v>0.9</v>
      </c>
      <c r="C109" s="52">
        <v>694</v>
      </c>
      <c r="D109" s="79">
        <v>538</v>
      </c>
      <c r="E109" s="7">
        <f t="shared" si="15"/>
        <v>0.77521613832853031</v>
      </c>
      <c r="F109" s="52">
        <v>41</v>
      </c>
      <c r="G109" s="52">
        <v>38</v>
      </c>
      <c r="H109" s="7">
        <f t="shared" si="11"/>
        <v>0.92682926829268297</v>
      </c>
      <c r="I109" s="52">
        <v>191</v>
      </c>
      <c r="J109" s="52">
        <v>130</v>
      </c>
      <c r="K109" s="7">
        <f t="shared" si="12"/>
        <v>0.68062827225130895</v>
      </c>
      <c r="L109" s="52">
        <v>100</v>
      </c>
      <c r="M109" s="52">
        <v>82</v>
      </c>
      <c r="N109" s="7">
        <f t="shared" si="13"/>
        <v>0.82</v>
      </c>
      <c r="O109" s="53">
        <v>362</v>
      </c>
      <c r="P109" s="53">
        <v>288</v>
      </c>
      <c r="Q109" s="7">
        <f t="shared" si="14"/>
        <v>0.79558011049723754</v>
      </c>
      <c r="R109" s="120">
        <v>13</v>
      </c>
      <c r="S109" s="12"/>
      <c r="U109" s="32"/>
      <c r="V109" s="32"/>
    </row>
    <row r="110" spans="1:22" s="186" customFormat="1" x14ac:dyDescent="0.25">
      <c r="A110" s="12">
        <v>42339</v>
      </c>
      <c r="B110" s="7">
        <v>0.9</v>
      </c>
      <c r="C110" s="52">
        <v>597</v>
      </c>
      <c r="D110" s="79">
        <v>437</v>
      </c>
      <c r="E110" s="7">
        <f t="shared" si="15"/>
        <v>0.73199329983249584</v>
      </c>
      <c r="F110" s="52">
        <v>42</v>
      </c>
      <c r="G110" s="52">
        <v>34</v>
      </c>
      <c r="H110" s="7">
        <f t="shared" si="11"/>
        <v>0.80952380952380953</v>
      </c>
      <c r="I110" s="52">
        <v>153</v>
      </c>
      <c r="J110" s="52">
        <v>96</v>
      </c>
      <c r="K110" s="7">
        <f t="shared" si="12"/>
        <v>0.62745098039215685</v>
      </c>
      <c r="L110" s="52">
        <v>115</v>
      </c>
      <c r="M110" s="52">
        <v>76</v>
      </c>
      <c r="N110" s="7">
        <f t="shared" si="13"/>
        <v>0.66086956521739126</v>
      </c>
      <c r="O110" s="53">
        <v>287</v>
      </c>
      <c r="P110" s="53">
        <v>231</v>
      </c>
      <c r="Q110" s="7">
        <f t="shared" si="14"/>
        <v>0.80487804878048785</v>
      </c>
      <c r="R110" s="120">
        <v>1</v>
      </c>
      <c r="S110" s="12"/>
      <c r="U110" s="32"/>
      <c r="V110" s="32"/>
    </row>
    <row r="111" spans="1:22" s="186" customFormat="1" x14ac:dyDescent="0.25">
      <c r="A111" s="12">
        <v>42370</v>
      </c>
      <c r="B111" s="7">
        <v>0.9</v>
      </c>
      <c r="C111" s="52">
        <v>699</v>
      </c>
      <c r="D111" s="79">
        <v>539</v>
      </c>
      <c r="E111" s="7">
        <f t="shared" si="15"/>
        <v>0.77110157367668097</v>
      </c>
      <c r="F111" s="52">
        <v>52</v>
      </c>
      <c r="G111" s="52">
        <v>47</v>
      </c>
      <c r="H111" s="7">
        <f t="shared" si="11"/>
        <v>0.90384615384615385</v>
      </c>
      <c r="I111" s="52">
        <v>195</v>
      </c>
      <c r="J111" s="52">
        <v>139</v>
      </c>
      <c r="K111" s="7">
        <f t="shared" si="12"/>
        <v>0.71282051282051284</v>
      </c>
      <c r="L111" s="52">
        <v>101</v>
      </c>
      <c r="M111" s="52">
        <v>70</v>
      </c>
      <c r="N111" s="7">
        <f t="shared" si="13"/>
        <v>0.69306930693069302</v>
      </c>
      <c r="O111" s="53">
        <v>351</v>
      </c>
      <c r="P111" s="53">
        <v>283</v>
      </c>
      <c r="Q111" s="7">
        <f t="shared" si="14"/>
        <v>0.80626780626780625</v>
      </c>
      <c r="R111" s="120">
        <v>0</v>
      </c>
      <c r="S111" s="12"/>
      <c r="U111" s="32"/>
      <c r="V111" s="32"/>
    </row>
    <row r="112" spans="1:22" s="186" customFormat="1" x14ac:dyDescent="0.25">
      <c r="A112" s="12">
        <v>42401</v>
      </c>
      <c r="B112" s="7">
        <v>0.9</v>
      </c>
      <c r="C112" s="52">
        <v>785</v>
      </c>
      <c r="D112" s="79">
        <v>613</v>
      </c>
      <c r="E112" s="7">
        <f t="shared" si="15"/>
        <v>0.78089171974522298</v>
      </c>
      <c r="F112" s="52">
        <v>39</v>
      </c>
      <c r="G112" s="52">
        <v>32</v>
      </c>
      <c r="H112" s="7">
        <f t="shared" si="11"/>
        <v>0.82051282051282048</v>
      </c>
      <c r="I112" s="52">
        <v>245</v>
      </c>
      <c r="J112" s="52">
        <v>167</v>
      </c>
      <c r="K112" s="7">
        <f t="shared" si="12"/>
        <v>0.68163265306122445</v>
      </c>
      <c r="L112" s="52">
        <v>117</v>
      </c>
      <c r="M112" s="52">
        <v>97</v>
      </c>
      <c r="N112" s="7">
        <f t="shared" si="13"/>
        <v>0.82905982905982911</v>
      </c>
      <c r="O112" s="53">
        <v>384</v>
      </c>
      <c r="P112" s="53">
        <v>317</v>
      </c>
      <c r="Q112" s="7">
        <f t="shared" si="14"/>
        <v>0.82552083333333337</v>
      </c>
      <c r="R112" s="120">
        <v>1</v>
      </c>
      <c r="S112" s="12"/>
      <c r="U112" s="32"/>
      <c r="V112" s="32"/>
    </row>
    <row r="113" spans="1:22" s="186" customFormat="1" x14ac:dyDescent="0.25">
      <c r="A113" s="12">
        <v>42430</v>
      </c>
      <c r="B113" s="7">
        <v>0.9</v>
      </c>
      <c r="C113" s="52">
        <v>754</v>
      </c>
      <c r="D113" s="79">
        <v>597</v>
      </c>
      <c r="E113" s="7">
        <f t="shared" si="15"/>
        <v>0.79177718832891242</v>
      </c>
      <c r="F113" s="52">
        <v>46</v>
      </c>
      <c r="G113" s="52">
        <v>39</v>
      </c>
      <c r="H113" s="7">
        <f t="shared" si="11"/>
        <v>0.84782608695652173</v>
      </c>
      <c r="I113" s="52">
        <v>208</v>
      </c>
      <c r="J113" s="52">
        <v>145</v>
      </c>
      <c r="K113" s="7">
        <f t="shared" si="12"/>
        <v>0.69711538461538458</v>
      </c>
      <c r="L113" s="52">
        <v>120</v>
      </c>
      <c r="M113" s="52">
        <v>94</v>
      </c>
      <c r="N113" s="7">
        <f t="shared" si="13"/>
        <v>0.78333333333333333</v>
      </c>
      <c r="O113" s="53">
        <v>380</v>
      </c>
      <c r="P113" s="53">
        <v>319</v>
      </c>
      <c r="Q113" s="7">
        <f t="shared" si="14"/>
        <v>0.83947368421052626</v>
      </c>
      <c r="R113" s="120">
        <v>7</v>
      </c>
      <c r="S113" s="12"/>
      <c r="U113" s="32"/>
      <c r="V113" s="32"/>
    </row>
    <row r="114" spans="1:22" s="186" customFormat="1" x14ac:dyDescent="0.25">
      <c r="A114" s="12">
        <v>42461</v>
      </c>
      <c r="B114" s="7">
        <v>0.9</v>
      </c>
      <c r="C114" s="52">
        <v>632</v>
      </c>
      <c r="D114" s="79">
        <v>518</v>
      </c>
      <c r="E114" s="7">
        <f t="shared" si="15"/>
        <v>0.819620253164557</v>
      </c>
      <c r="F114" s="52">
        <v>31</v>
      </c>
      <c r="G114" s="52">
        <v>27</v>
      </c>
      <c r="H114" s="7">
        <f t="shared" si="11"/>
        <v>0.87096774193548387</v>
      </c>
      <c r="I114" s="52">
        <v>170</v>
      </c>
      <c r="J114" s="52">
        <v>120</v>
      </c>
      <c r="K114" s="7">
        <f t="shared" si="12"/>
        <v>0.70588235294117652</v>
      </c>
      <c r="L114" s="52">
        <v>95</v>
      </c>
      <c r="M114" s="52">
        <v>77</v>
      </c>
      <c r="N114" s="7">
        <f t="shared" si="13"/>
        <v>0.81052631578947365</v>
      </c>
      <c r="O114" s="53">
        <v>336</v>
      </c>
      <c r="P114" s="53">
        <v>294</v>
      </c>
      <c r="Q114" s="7">
        <f t="shared" si="14"/>
        <v>0.875</v>
      </c>
      <c r="R114" s="120">
        <v>0</v>
      </c>
      <c r="S114" s="12"/>
      <c r="U114" s="32"/>
      <c r="V114" s="32"/>
    </row>
    <row r="115" spans="1:22" s="186" customFormat="1" x14ac:dyDescent="0.25">
      <c r="A115" s="12">
        <v>42491</v>
      </c>
      <c r="B115" s="7">
        <v>0.9</v>
      </c>
      <c r="C115" s="52">
        <v>567</v>
      </c>
      <c r="D115" s="79">
        <v>462</v>
      </c>
      <c r="E115" s="7">
        <f t="shared" si="15"/>
        <v>0.81481481481481477</v>
      </c>
      <c r="F115" s="52">
        <v>24</v>
      </c>
      <c r="G115" s="52">
        <v>22</v>
      </c>
      <c r="H115" s="7">
        <f t="shared" si="11"/>
        <v>0.91666666666666663</v>
      </c>
      <c r="I115" s="52">
        <v>143</v>
      </c>
      <c r="J115" s="52">
        <v>106</v>
      </c>
      <c r="K115" s="7">
        <f t="shared" si="12"/>
        <v>0.74125874125874125</v>
      </c>
      <c r="L115" s="52">
        <v>84</v>
      </c>
      <c r="M115" s="52">
        <v>66</v>
      </c>
      <c r="N115" s="7">
        <f t="shared" si="13"/>
        <v>0.7857142857142857</v>
      </c>
      <c r="O115" s="53">
        <v>316</v>
      </c>
      <c r="P115" s="53">
        <v>268</v>
      </c>
      <c r="Q115" s="7">
        <f t="shared" si="14"/>
        <v>0.84810126582278478</v>
      </c>
      <c r="R115" s="120">
        <v>0</v>
      </c>
      <c r="S115" s="12"/>
      <c r="U115" s="32"/>
      <c r="V115" s="32"/>
    </row>
    <row r="116" spans="1:22" s="186" customFormat="1" x14ac:dyDescent="0.25">
      <c r="A116" s="12">
        <v>42522</v>
      </c>
      <c r="B116" s="7">
        <v>0.9</v>
      </c>
      <c r="C116" s="52">
        <v>654</v>
      </c>
      <c r="D116" s="79">
        <v>498</v>
      </c>
      <c r="E116" s="7">
        <f t="shared" si="15"/>
        <v>0.76146788990825687</v>
      </c>
      <c r="F116" s="52">
        <v>36</v>
      </c>
      <c r="G116" s="52">
        <v>30</v>
      </c>
      <c r="H116" s="7">
        <f t="shared" si="11"/>
        <v>0.83333333333333337</v>
      </c>
      <c r="I116" s="52">
        <v>178</v>
      </c>
      <c r="J116" s="52">
        <v>120</v>
      </c>
      <c r="K116" s="7">
        <f t="shared" si="12"/>
        <v>0.6741573033707865</v>
      </c>
      <c r="L116" s="52">
        <v>108</v>
      </c>
      <c r="M116" s="52">
        <v>82</v>
      </c>
      <c r="N116" s="7">
        <f t="shared" si="13"/>
        <v>0.7592592592592593</v>
      </c>
      <c r="O116" s="53">
        <v>332</v>
      </c>
      <c r="P116" s="53">
        <v>259</v>
      </c>
      <c r="Q116" s="7">
        <f t="shared" si="14"/>
        <v>0.78012048192771088</v>
      </c>
      <c r="R116" s="120">
        <v>1</v>
      </c>
      <c r="S116" s="12"/>
      <c r="U116" s="32"/>
      <c r="V116" s="32"/>
    </row>
    <row r="117" spans="1:22" s="186" customFormat="1" x14ac:dyDescent="0.25">
      <c r="A117" s="12">
        <v>42552</v>
      </c>
      <c r="B117" s="7">
        <v>0.9</v>
      </c>
      <c r="C117" s="52">
        <v>550</v>
      </c>
      <c r="D117" s="79">
        <v>441</v>
      </c>
      <c r="E117" s="7">
        <f t="shared" si="15"/>
        <v>0.80181818181818176</v>
      </c>
      <c r="F117" s="52">
        <v>44</v>
      </c>
      <c r="G117" s="52">
        <v>32</v>
      </c>
      <c r="H117" s="7">
        <f t="shared" si="11"/>
        <v>0.72727272727272729</v>
      </c>
      <c r="I117" s="52">
        <v>136</v>
      </c>
      <c r="J117" s="52">
        <v>105</v>
      </c>
      <c r="K117" s="7">
        <f t="shared" si="12"/>
        <v>0.7720588235294118</v>
      </c>
      <c r="L117" s="52">
        <v>78</v>
      </c>
      <c r="M117" s="52">
        <v>62</v>
      </c>
      <c r="N117" s="7">
        <f t="shared" si="13"/>
        <v>0.79487179487179482</v>
      </c>
      <c r="O117" s="53">
        <v>292</v>
      </c>
      <c r="P117" s="53">
        <v>242</v>
      </c>
      <c r="Q117" s="7">
        <f t="shared" si="14"/>
        <v>0.82876712328767121</v>
      </c>
      <c r="R117" s="120">
        <v>2</v>
      </c>
      <c r="S117" s="12"/>
      <c r="U117" s="32"/>
      <c r="V117" s="32"/>
    </row>
    <row r="118" spans="1:22" s="186" customFormat="1" x14ac:dyDescent="0.25">
      <c r="A118" s="12">
        <v>42583</v>
      </c>
      <c r="B118" s="7">
        <v>0.9</v>
      </c>
      <c r="C118" s="52"/>
      <c r="D118" s="79"/>
      <c r="E118" s="7"/>
      <c r="F118" s="52"/>
      <c r="G118" s="52"/>
      <c r="H118" s="7"/>
      <c r="I118" s="52"/>
      <c r="J118" s="52"/>
      <c r="K118" s="7"/>
      <c r="L118" s="52"/>
      <c r="M118" s="52"/>
      <c r="N118" s="7"/>
      <c r="O118" s="53"/>
      <c r="P118" s="53"/>
      <c r="Q118" s="7"/>
      <c r="R118" s="120"/>
      <c r="S118" s="12"/>
      <c r="U118" s="32"/>
      <c r="V118" s="32"/>
    </row>
    <row r="119" spans="1:22" x14ac:dyDescent="0.25">
      <c r="A119" s="12"/>
      <c r="B119" s="12"/>
      <c r="C119" s="7"/>
      <c r="D119" s="43"/>
      <c r="E119" s="43"/>
      <c r="F119" s="7"/>
      <c r="G119" s="43"/>
      <c r="H119" s="43"/>
      <c r="I119" s="7"/>
      <c r="J119" s="43"/>
      <c r="K119" s="43"/>
      <c r="L119" s="7"/>
      <c r="M119" s="43"/>
      <c r="N119" s="43"/>
      <c r="O119" s="7"/>
      <c r="P119" s="45"/>
      <c r="Q119" s="45"/>
      <c r="R119" s="7"/>
    </row>
    <row r="120" spans="1:22" x14ac:dyDescent="0.25">
      <c r="A120" s="12"/>
      <c r="B120" s="12"/>
      <c r="C120" s="7"/>
      <c r="D120" s="43"/>
      <c r="E120" s="43"/>
      <c r="F120" s="7"/>
      <c r="G120" s="43"/>
      <c r="H120" s="43"/>
      <c r="I120" s="7"/>
      <c r="J120" s="43"/>
      <c r="K120" s="43"/>
      <c r="L120" s="7"/>
      <c r="M120" s="43"/>
      <c r="N120" s="43"/>
      <c r="O120" s="7"/>
      <c r="P120" s="45"/>
      <c r="Q120" s="45"/>
      <c r="R120" s="7"/>
    </row>
    <row r="121" spans="1:22" x14ac:dyDescent="0.25">
      <c r="A121" s="12"/>
      <c r="B121" s="12"/>
      <c r="C121" s="7"/>
      <c r="D121" s="43"/>
      <c r="E121" s="43"/>
      <c r="F121" s="7"/>
      <c r="G121" s="43"/>
      <c r="H121" s="43"/>
      <c r="I121" s="7"/>
      <c r="J121" s="43"/>
      <c r="K121" s="43"/>
      <c r="L121" s="7"/>
      <c r="M121" s="43"/>
      <c r="N121" s="43"/>
      <c r="O121" s="7"/>
      <c r="P121" s="45"/>
      <c r="Q121" s="45"/>
      <c r="R121" s="7"/>
    </row>
    <row r="122" spans="1:22" x14ac:dyDescent="0.25">
      <c r="A122" s="12"/>
      <c r="B122" s="12"/>
      <c r="C122" s="7"/>
      <c r="D122" s="43"/>
      <c r="E122" s="43"/>
      <c r="F122" s="7"/>
      <c r="G122" s="43"/>
      <c r="H122" s="43"/>
      <c r="I122" s="7"/>
      <c r="J122" s="43"/>
      <c r="K122" s="43"/>
      <c r="L122" s="7"/>
      <c r="M122" s="43"/>
      <c r="N122" s="43"/>
      <c r="O122" s="7"/>
      <c r="P122" s="45"/>
      <c r="Q122" s="45"/>
      <c r="R122" s="7"/>
    </row>
    <row r="123" spans="1:22" x14ac:dyDescent="0.25">
      <c r="A123" s="12"/>
      <c r="B123" s="12"/>
      <c r="C123" s="7"/>
      <c r="D123" s="43"/>
      <c r="E123" s="43"/>
      <c r="F123" s="7"/>
      <c r="G123" s="43"/>
      <c r="H123" s="43"/>
      <c r="I123" s="7"/>
      <c r="J123" s="43"/>
      <c r="K123" s="43"/>
      <c r="L123" s="7"/>
      <c r="M123" s="43"/>
      <c r="N123" s="43"/>
      <c r="O123" s="7"/>
      <c r="P123" s="45"/>
      <c r="Q123" s="45"/>
      <c r="R123" s="7"/>
    </row>
    <row r="124" spans="1:22" x14ac:dyDescent="0.25">
      <c r="A124" s="12"/>
      <c r="B124" s="12"/>
      <c r="C124" s="7"/>
      <c r="D124" s="43"/>
      <c r="E124" s="43"/>
      <c r="F124" s="7"/>
      <c r="G124" s="43"/>
      <c r="H124" s="43"/>
      <c r="I124" s="7"/>
      <c r="J124" s="43"/>
      <c r="K124" s="43"/>
      <c r="L124" s="7"/>
      <c r="M124" s="43"/>
      <c r="N124" s="43"/>
      <c r="O124" s="7"/>
      <c r="P124" s="45"/>
      <c r="Q124" s="45"/>
      <c r="R124" s="7"/>
    </row>
    <row r="125" spans="1:22" x14ac:dyDescent="0.25">
      <c r="A125" s="12"/>
      <c r="B125" s="12"/>
      <c r="C125" s="7"/>
      <c r="D125" s="43"/>
      <c r="E125" s="43"/>
      <c r="F125" s="7"/>
      <c r="G125" s="43"/>
      <c r="H125" s="43"/>
      <c r="I125" s="7"/>
      <c r="J125" s="43"/>
      <c r="K125" s="43"/>
      <c r="L125" s="7"/>
      <c r="M125" s="43"/>
      <c r="N125" s="43"/>
      <c r="O125" s="7"/>
      <c r="P125" s="45"/>
      <c r="Q125" s="45"/>
      <c r="R125" s="7"/>
    </row>
    <row r="126" spans="1:22" x14ac:dyDescent="0.25">
      <c r="A126" s="12"/>
      <c r="B126" s="12"/>
      <c r="C126" s="7"/>
      <c r="D126" s="43"/>
      <c r="E126" s="43"/>
      <c r="F126" s="7"/>
      <c r="G126" s="43"/>
      <c r="H126" s="43"/>
      <c r="I126" s="7"/>
      <c r="J126" s="43"/>
      <c r="K126" s="43"/>
      <c r="L126" s="7"/>
      <c r="M126" s="43"/>
      <c r="N126" s="43"/>
      <c r="O126" s="7"/>
      <c r="P126" s="45"/>
      <c r="Q126" s="45"/>
      <c r="R126" s="7"/>
    </row>
    <row r="127" spans="1:22" x14ac:dyDescent="0.25">
      <c r="A127" s="12"/>
      <c r="B127" s="12"/>
      <c r="C127" s="7"/>
      <c r="D127" s="43"/>
      <c r="E127" s="43"/>
      <c r="F127" s="7"/>
      <c r="G127" s="43"/>
      <c r="H127" s="43"/>
      <c r="I127" s="7"/>
      <c r="J127" s="43"/>
      <c r="K127" s="43"/>
      <c r="L127" s="7"/>
      <c r="M127" s="43"/>
      <c r="N127" s="43"/>
      <c r="O127" s="7"/>
      <c r="P127" s="45"/>
      <c r="Q127" s="45"/>
      <c r="R127" s="7"/>
    </row>
    <row r="128" spans="1:22" x14ac:dyDescent="0.25">
      <c r="A128" s="2"/>
      <c r="B128" s="2"/>
      <c r="C128" s="10"/>
      <c r="D128" s="44"/>
      <c r="E128" s="44"/>
      <c r="F128" s="10"/>
      <c r="G128" s="44"/>
      <c r="H128" s="44"/>
      <c r="I128" s="10"/>
      <c r="J128" s="44"/>
      <c r="K128" s="44"/>
      <c r="L128" s="10"/>
      <c r="M128" s="44"/>
      <c r="N128" s="44"/>
      <c r="O128" s="10"/>
      <c r="P128" s="45"/>
      <c r="Q128" s="45"/>
      <c r="R128" s="10"/>
    </row>
    <row r="129" spans="1:18" x14ac:dyDescent="0.25">
      <c r="A129" s="2"/>
      <c r="B129" s="2"/>
      <c r="C129" s="10"/>
      <c r="D129" s="44"/>
      <c r="E129" s="44"/>
      <c r="F129" s="10"/>
      <c r="G129" s="44"/>
      <c r="H129" s="44"/>
      <c r="I129" s="10"/>
      <c r="J129" s="44"/>
      <c r="K129" s="44"/>
      <c r="L129" s="10"/>
      <c r="M129" s="44"/>
      <c r="N129" s="44"/>
      <c r="O129" s="10"/>
      <c r="P129" s="45"/>
      <c r="Q129" s="45"/>
      <c r="R129" s="10"/>
    </row>
    <row r="130" spans="1:18" x14ac:dyDescent="0.25">
      <c r="A130" s="2"/>
      <c r="B130" s="2"/>
      <c r="C130" s="10"/>
      <c r="D130" s="44"/>
      <c r="E130" s="44"/>
      <c r="F130" s="10"/>
      <c r="G130" s="44"/>
      <c r="H130" s="44"/>
      <c r="I130" s="10"/>
      <c r="J130" s="44"/>
      <c r="K130" s="44"/>
      <c r="L130" s="10"/>
      <c r="M130" s="44"/>
      <c r="N130" s="44"/>
      <c r="O130" s="10"/>
      <c r="P130" s="45"/>
      <c r="Q130" s="45"/>
      <c r="R130" s="10"/>
    </row>
    <row r="131" spans="1:18" x14ac:dyDescent="0.25">
      <c r="A131" s="2"/>
      <c r="B131" s="2"/>
      <c r="C131" s="10"/>
      <c r="D131" s="44"/>
      <c r="E131" s="44"/>
      <c r="F131" s="10"/>
      <c r="G131" s="44"/>
      <c r="H131" s="44"/>
      <c r="I131" s="10"/>
      <c r="J131" s="44"/>
      <c r="K131" s="44"/>
      <c r="L131" s="10"/>
      <c r="M131" s="44"/>
      <c r="N131" s="44"/>
      <c r="O131" s="10"/>
      <c r="P131" s="45"/>
      <c r="Q131" s="45"/>
      <c r="R131" s="10"/>
    </row>
    <row r="132" spans="1:18" x14ac:dyDescent="0.25">
      <c r="A132" s="2"/>
      <c r="B132" s="2"/>
      <c r="C132" s="10"/>
      <c r="D132" s="44"/>
      <c r="E132" s="44"/>
      <c r="F132" s="10"/>
      <c r="G132" s="44"/>
      <c r="H132" s="44"/>
      <c r="I132" s="10"/>
      <c r="J132" s="44"/>
      <c r="K132" s="44"/>
      <c r="L132" s="10"/>
      <c r="M132" s="44"/>
      <c r="N132" s="44"/>
      <c r="O132" s="10"/>
      <c r="P132" s="45"/>
      <c r="Q132" s="45"/>
      <c r="R132" s="10"/>
    </row>
    <row r="133" spans="1:18" x14ac:dyDescent="0.25">
      <c r="A133" s="2"/>
      <c r="B133" s="2"/>
      <c r="C133" s="10"/>
      <c r="D133" s="44"/>
      <c r="E133" s="44"/>
      <c r="F133" s="10"/>
      <c r="G133" s="44"/>
      <c r="H133" s="44"/>
      <c r="I133" s="10"/>
      <c r="J133" s="44"/>
      <c r="K133" s="44"/>
      <c r="L133" s="10"/>
      <c r="M133" s="44"/>
      <c r="N133" s="44"/>
      <c r="O133" s="10"/>
      <c r="P133" s="45"/>
      <c r="Q133" s="45"/>
      <c r="R133" s="10"/>
    </row>
    <row r="134" spans="1:18" x14ac:dyDescent="0.25">
      <c r="A134" s="2"/>
      <c r="B134" s="2"/>
      <c r="C134" s="10"/>
      <c r="D134" s="44"/>
      <c r="E134" s="44"/>
      <c r="F134" s="10"/>
      <c r="G134" s="44"/>
      <c r="H134" s="44"/>
      <c r="I134" s="10"/>
      <c r="J134" s="44"/>
      <c r="K134" s="44"/>
      <c r="L134" s="10"/>
      <c r="M134" s="44"/>
      <c r="N134" s="44"/>
      <c r="O134" s="10"/>
      <c r="P134" s="45"/>
      <c r="Q134" s="45"/>
      <c r="R134" s="10"/>
    </row>
    <row r="141" spans="1:18" x14ac:dyDescent="0.25">
      <c r="D141"/>
      <c r="E141"/>
      <c r="F141"/>
      <c r="G141"/>
      <c r="H141"/>
      <c r="J141" s="186"/>
    </row>
    <row r="142" spans="1:18" x14ac:dyDescent="0.25">
      <c r="A142" t="s">
        <v>57</v>
      </c>
      <c r="B142" t="s">
        <v>164</v>
      </c>
      <c r="D142"/>
      <c r="E142"/>
      <c r="F142"/>
      <c r="G142"/>
      <c r="H142"/>
      <c r="J142" s="186"/>
    </row>
    <row r="143" spans="1:18" x14ac:dyDescent="0.25">
      <c r="B143" s="63" t="s">
        <v>0</v>
      </c>
      <c r="C143" s="63" t="s">
        <v>166</v>
      </c>
      <c r="D143" s="63" t="s">
        <v>167</v>
      </c>
      <c r="E143" s="2" t="s">
        <v>171</v>
      </c>
      <c r="F143" s="2" t="s">
        <v>169</v>
      </c>
      <c r="G143" s="2" t="s">
        <v>170</v>
      </c>
      <c r="H143" s="2" t="s">
        <v>176</v>
      </c>
      <c r="J143" s="186"/>
    </row>
    <row r="144" spans="1:18" hidden="1" x14ac:dyDescent="0.25">
      <c r="A144" s="12">
        <v>41061</v>
      </c>
      <c r="B144" s="38">
        <v>559</v>
      </c>
      <c r="C144" s="38">
        <v>210</v>
      </c>
      <c r="D144" s="37">
        <v>0</v>
      </c>
      <c r="E144" s="37">
        <v>25</v>
      </c>
      <c r="F144" s="37">
        <v>22</v>
      </c>
      <c r="G144" s="37">
        <v>5</v>
      </c>
      <c r="H144" s="37">
        <v>4</v>
      </c>
      <c r="J144" s="186"/>
    </row>
    <row r="145" spans="1:11" hidden="1" x14ac:dyDescent="0.25">
      <c r="A145" s="12">
        <v>41091</v>
      </c>
      <c r="B145" s="37">
        <v>640</v>
      </c>
      <c r="C145" s="37">
        <v>339</v>
      </c>
      <c r="D145" s="37">
        <v>114</v>
      </c>
      <c r="E145" s="37">
        <v>47</v>
      </c>
      <c r="F145" s="37">
        <v>47</v>
      </c>
      <c r="G145" s="37">
        <v>19</v>
      </c>
      <c r="H145" s="37">
        <v>14</v>
      </c>
      <c r="J145" s="186"/>
    </row>
    <row r="146" spans="1:11" hidden="1" x14ac:dyDescent="0.25">
      <c r="A146" s="12">
        <v>41122</v>
      </c>
      <c r="B146" s="37">
        <v>722</v>
      </c>
      <c r="C146" s="37">
        <v>374</v>
      </c>
      <c r="D146" s="37">
        <v>169</v>
      </c>
      <c r="E146" s="37">
        <v>84</v>
      </c>
      <c r="F146" s="37">
        <v>67</v>
      </c>
      <c r="G146" s="37">
        <v>26</v>
      </c>
      <c r="H146" s="37">
        <v>2</v>
      </c>
      <c r="J146" s="186"/>
    </row>
    <row r="147" spans="1:11" hidden="1" x14ac:dyDescent="0.25">
      <c r="A147" s="12">
        <v>41153</v>
      </c>
      <c r="B147" s="37">
        <v>569</v>
      </c>
      <c r="C147" s="37">
        <v>310</v>
      </c>
      <c r="D147" s="37">
        <v>150</v>
      </c>
      <c r="E147" s="37">
        <v>73</v>
      </c>
      <c r="F147" s="37">
        <v>35</v>
      </c>
      <c r="G147" s="37">
        <v>1</v>
      </c>
      <c r="H147" s="37">
        <v>0</v>
      </c>
      <c r="J147" s="186"/>
    </row>
    <row r="148" spans="1:11" hidden="1" x14ac:dyDescent="0.25">
      <c r="A148" s="12">
        <v>41183</v>
      </c>
      <c r="B148" s="37">
        <v>402</v>
      </c>
      <c r="C148" s="37">
        <v>296</v>
      </c>
      <c r="D148" s="37">
        <v>66</v>
      </c>
      <c r="E148" s="37">
        <v>29</v>
      </c>
      <c r="F148" s="37">
        <v>11</v>
      </c>
      <c r="G148" s="37">
        <v>0</v>
      </c>
      <c r="H148" s="37">
        <v>0</v>
      </c>
      <c r="J148" s="186"/>
    </row>
    <row r="149" spans="1:11" hidden="1" x14ac:dyDescent="0.25">
      <c r="A149" s="12">
        <v>41214</v>
      </c>
      <c r="B149" s="37">
        <v>451</v>
      </c>
      <c r="C149" s="37">
        <v>340</v>
      </c>
      <c r="D149" s="37">
        <v>85</v>
      </c>
      <c r="E149" s="37">
        <v>26</v>
      </c>
      <c r="F149" s="37">
        <v>0</v>
      </c>
      <c r="G149" s="37">
        <v>0</v>
      </c>
      <c r="H149" s="37">
        <v>0</v>
      </c>
      <c r="J149" s="186"/>
    </row>
    <row r="150" spans="1:11" hidden="1" x14ac:dyDescent="0.25">
      <c r="A150" s="12">
        <v>41244</v>
      </c>
      <c r="B150" s="37">
        <v>341</v>
      </c>
      <c r="C150" s="37">
        <v>208</v>
      </c>
      <c r="D150" s="37">
        <v>93</v>
      </c>
      <c r="E150" s="37">
        <v>34</v>
      </c>
      <c r="F150" s="37">
        <v>6</v>
      </c>
      <c r="G150" s="37">
        <v>0</v>
      </c>
      <c r="H150" s="37">
        <v>0</v>
      </c>
      <c r="J150" s="186"/>
    </row>
    <row r="151" spans="1:11" hidden="1" x14ac:dyDescent="0.25">
      <c r="A151" s="12">
        <v>41275</v>
      </c>
      <c r="B151" s="37">
        <v>545</v>
      </c>
      <c r="C151" s="37">
        <v>422</v>
      </c>
      <c r="D151" s="37">
        <v>89</v>
      </c>
      <c r="E151" s="37">
        <v>34</v>
      </c>
      <c r="F151" s="37">
        <v>0</v>
      </c>
      <c r="G151" s="37">
        <v>0</v>
      </c>
      <c r="H151" s="37">
        <v>0</v>
      </c>
      <c r="J151" s="186"/>
    </row>
    <row r="152" spans="1:11" hidden="1" x14ac:dyDescent="0.25">
      <c r="A152" s="12">
        <v>41306</v>
      </c>
      <c r="B152" s="37">
        <v>460</v>
      </c>
      <c r="C152" s="37">
        <v>353</v>
      </c>
      <c r="D152" s="37">
        <v>107</v>
      </c>
      <c r="E152" s="37">
        <v>0</v>
      </c>
      <c r="F152" s="37">
        <v>0</v>
      </c>
      <c r="G152" s="37">
        <v>0</v>
      </c>
      <c r="H152" s="37">
        <v>0</v>
      </c>
      <c r="J152" s="186"/>
    </row>
    <row r="153" spans="1:11" hidden="1" x14ac:dyDescent="0.25">
      <c r="A153" s="12">
        <v>41334</v>
      </c>
      <c r="B153" s="37">
        <v>468</v>
      </c>
      <c r="C153" s="37">
        <v>381</v>
      </c>
      <c r="D153" s="37">
        <v>87</v>
      </c>
      <c r="E153" s="37">
        <v>0</v>
      </c>
      <c r="F153" s="37">
        <v>0</v>
      </c>
      <c r="G153" s="37">
        <v>0</v>
      </c>
      <c r="H153" s="37">
        <v>0</v>
      </c>
      <c r="J153" s="186"/>
    </row>
    <row r="154" spans="1:11" hidden="1" x14ac:dyDescent="0.25">
      <c r="A154" s="12">
        <v>41365</v>
      </c>
      <c r="B154" s="37">
        <v>388</v>
      </c>
      <c r="C154" s="37">
        <v>302</v>
      </c>
      <c r="D154" s="37">
        <v>86</v>
      </c>
      <c r="E154" s="37">
        <v>0</v>
      </c>
      <c r="F154" s="37">
        <v>0</v>
      </c>
      <c r="G154" s="37">
        <v>0</v>
      </c>
      <c r="H154" s="37">
        <v>0</v>
      </c>
      <c r="J154" s="186"/>
    </row>
    <row r="155" spans="1:11" hidden="1" x14ac:dyDescent="0.25">
      <c r="A155" s="12">
        <v>41395</v>
      </c>
      <c r="B155" s="37">
        <v>410</v>
      </c>
      <c r="C155" s="37">
        <v>352</v>
      </c>
      <c r="D155" s="37">
        <v>57</v>
      </c>
      <c r="E155" s="37">
        <v>1</v>
      </c>
      <c r="F155" s="37">
        <v>0</v>
      </c>
      <c r="G155" s="37">
        <v>0</v>
      </c>
      <c r="H155" s="37">
        <v>0</v>
      </c>
      <c r="J155" s="186"/>
    </row>
    <row r="156" spans="1:11" hidden="1" x14ac:dyDescent="0.25">
      <c r="A156" s="12">
        <v>41426</v>
      </c>
      <c r="B156" s="37">
        <v>453</v>
      </c>
      <c r="C156" s="37">
        <v>367</v>
      </c>
      <c r="D156" s="37">
        <v>85</v>
      </c>
      <c r="E156" s="37">
        <v>1</v>
      </c>
      <c r="F156" s="37">
        <v>0</v>
      </c>
      <c r="G156" s="37">
        <v>0</v>
      </c>
      <c r="H156" s="37">
        <v>0</v>
      </c>
      <c r="J156" s="186"/>
    </row>
    <row r="157" spans="1:11" hidden="1" x14ac:dyDescent="0.25">
      <c r="A157" s="12">
        <v>41456</v>
      </c>
      <c r="B157" s="37">
        <v>384</v>
      </c>
      <c r="C157" s="37">
        <v>312</v>
      </c>
      <c r="D157" s="37">
        <v>71</v>
      </c>
      <c r="E157" s="37">
        <v>1</v>
      </c>
      <c r="F157" s="37">
        <v>0</v>
      </c>
      <c r="G157" s="37">
        <v>0</v>
      </c>
      <c r="H157" s="37">
        <v>0</v>
      </c>
      <c r="J157" s="186"/>
    </row>
    <row r="158" spans="1:11" hidden="1" x14ac:dyDescent="0.25">
      <c r="A158" s="12">
        <v>41487</v>
      </c>
      <c r="B158" s="37">
        <v>350</v>
      </c>
      <c r="C158" s="37">
        <v>290</v>
      </c>
      <c r="D158" s="37">
        <v>60</v>
      </c>
      <c r="E158" s="37">
        <v>0</v>
      </c>
      <c r="F158" s="37">
        <v>0</v>
      </c>
      <c r="G158" s="37">
        <v>0</v>
      </c>
      <c r="H158" s="37">
        <v>0</v>
      </c>
      <c r="J158" s="186"/>
    </row>
    <row r="159" spans="1:11" hidden="1" x14ac:dyDescent="0.25">
      <c r="A159" s="12">
        <v>41518</v>
      </c>
      <c r="B159" s="37">
        <v>356</v>
      </c>
      <c r="C159" s="37">
        <v>277</v>
      </c>
      <c r="D159" s="37">
        <v>79</v>
      </c>
      <c r="E159" s="37">
        <v>0</v>
      </c>
      <c r="F159" s="37">
        <v>0</v>
      </c>
      <c r="G159" s="37">
        <v>0</v>
      </c>
      <c r="H159" s="37">
        <v>0</v>
      </c>
      <c r="J159" s="186"/>
    </row>
    <row r="160" spans="1:11" hidden="1" x14ac:dyDescent="0.25">
      <c r="A160" s="12">
        <v>41548</v>
      </c>
      <c r="B160" s="37">
        <v>469</v>
      </c>
      <c r="C160" s="37">
        <v>391</v>
      </c>
      <c r="D160" s="37">
        <v>69</v>
      </c>
      <c r="E160" s="37">
        <v>9</v>
      </c>
      <c r="F160" s="37">
        <v>0</v>
      </c>
      <c r="G160" s="37">
        <v>0</v>
      </c>
      <c r="H160" s="37">
        <v>0</v>
      </c>
      <c r="J160" s="186"/>
      <c r="K160" s="37"/>
    </row>
    <row r="161" spans="1:22" hidden="1" x14ac:dyDescent="0.25">
      <c r="A161" s="12">
        <v>41579</v>
      </c>
      <c r="B161" s="37">
        <v>472</v>
      </c>
      <c r="C161" s="37">
        <v>371</v>
      </c>
      <c r="D161" s="37">
        <v>92</v>
      </c>
      <c r="E161" s="37">
        <v>8</v>
      </c>
      <c r="F161" s="37">
        <v>1</v>
      </c>
      <c r="G161" s="37">
        <v>0</v>
      </c>
      <c r="H161" s="37">
        <v>0</v>
      </c>
      <c r="J161" s="186"/>
      <c r="K161" s="37"/>
    </row>
    <row r="162" spans="1:22" hidden="1" x14ac:dyDescent="0.25">
      <c r="A162" s="12">
        <v>41609</v>
      </c>
      <c r="B162" s="37">
        <v>350</v>
      </c>
      <c r="C162" s="37">
        <v>202</v>
      </c>
      <c r="D162" s="37">
        <v>113</v>
      </c>
      <c r="E162" s="37">
        <v>31</v>
      </c>
      <c r="F162" s="37">
        <v>4</v>
      </c>
      <c r="G162" s="37">
        <v>0</v>
      </c>
      <c r="H162" s="37">
        <v>0</v>
      </c>
      <c r="J162" s="186"/>
      <c r="K162" s="37"/>
    </row>
    <row r="163" spans="1:22" hidden="1" x14ac:dyDescent="0.25">
      <c r="A163" s="12">
        <v>41640</v>
      </c>
      <c r="B163" s="37">
        <v>593</v>
      </c>
      <c r="C163" s="37">
        <v>429</v>
      </c>
      <c r="D163" s="37">
        <v>98</v>
      </c>
      <c r="E163" s="37">
        <v>49</v>
      </c>
      <c r="F163" s="37">
        <v>17</v>
      </c>
      <c r="G163" s="37">
        <v>0</v>
      </c>
      <c r="H163" s="37">
        <v>0</v>
      </c>
      <c r="J163" s="186"/>
      <c r="K163" s="37"/>
    </row>
    <row r="164" spans="1:22" hidden="1" x14ac:dyDescent="0.25">
      <c r="A164" s="12">
        <v>41671</v>
      </c>
      <c r="B164" s="37">
        <v>637</v>
      </c>
      <c r="C164" s="37">
        <v>421</v>
      </c>
      <c r="D164" s="37">
        <v>132</v>
      </c>
      <c r="E164" s="37">
        <v>43</v>
      </c>
      <c r="F164" s="37">
        <v>40</v>
      </c>
      <c r="G164" s="37">
        <v>1</v>
      </c>
      <c r="H164" s="37">
        <v>0</v>
      </c>
      <c r="J164" s="186"/>
      <c r="K164" s="37"/>
    </row>
    <row r="165" spans="1:22" hidden="1" x14ac:dyDescent="0.25">
      <c r="A165" s="12">
        <v>41699</v>
      </c>
      <c r="B165" s="37">
        <v>580</v>
      </c>
      <c r="C165" s="37">
        <v>349</v>
      </c>
      <c r="D165" s="37">
        <v>141</v>
      </c>
      <c r="E165" s="37">
        <v>60</v>
      </c>
      <c r="F165" s="37">
        <v>29</v>
      </c>
      <c r="G165" s="37">
        <v>1</v>
      </c>
      <c r="H165" s="37">
        <v>0</v>
      </c>
      <c r="J165" s="186"/>
      <c r="K165" s="37"/>
    </row>
    <row r="166" spans="1:22" hidden="1" x14ac:dyDescent="0.25">
      <c r="A166" s="12">
        <v>41730</v>
      </c>
      <c r="B166" s="37">
        <v>621</v>
      </c>
      <c r="C166" s="37">
        <v>377</v>
      </c>
      <c r="D166" s="37">
        <v>134</v>
      </c>
      <c r="E166" s="37">
        <v>61</v>
      </c>
      <c r="F166" s="37">
        <v>46</v>
      </c>
      <c r="G166" s="37">
        <v>3</v>
      </c>
      <c r="H166" s="37">
        <v>0</v>
      </c>
      <c r="J166" s="186"/>
      <c r="K166" s="37"/>
    </row>
    <row r="167" spans="1:22" hidden="1" x14ac:dyDescent="0.25">
      <c r="A167" s="12">
        <v>41760</v>
      </c>
      <c r="B167" s="37">
        <v>501</v>
      </c>
      <c r="C167" s="37">
        <v>320</v>
      </c>
      <c r="D167" s="37">
        <v>117</v>
      </c>
      <c r="E167" s="37">
        <v>41</v>
      </c>
      <c r="F167" s="37">
        <v>14</v>
      </c>
      <c r="G167" s="37">
        <v>9</v>
      </c>
      <c r="H167" s="37">
        <v>0</v>
      </c>
      <c r="J167" s="186"/>
      <c r="K167" s="37"/>
    </row>
    <row r="168" spans="1:22" hidden="1" x14ac:dyDescent="0.25">
      <c r="A168" s="12">
        <v>41791</v>
      </c>
      <c r="B168" s="37">
        <v>480</v>
      </c>
      <c r="C168" s="37">
        <v>311</v>
      </c>
      <c r="D168" s="37">
        <v>98</v>
      </c>
      <c r="E168" s="37">
        <v>28</v>
      </c>
      <c r="F168" s="37">
        <v>38</v>
      </c>
      <c r="G168" s="37">
        <v>5</v>
      </c>
      <c r="H168" s="37">
        <v>0</v>
      </c>
      <c r="J168" s="186"/>
      <c r="K168" s="37"/>
    </row>
    <row r="169" spans="1:22" hidden="1" x14ac:dyDescent="0.25">
      <c r="A169" s="12">
        <v>41821</v>
      </c>
      <c r="B169" s="37">
        <v>573</v>
      </c>
      <c r="C169" s="37">
        <v>316</v>
      </c>
      <c r="D169" s="37">
        <v>109</v>
      </c>
      <c r="E169" s="37">
        <v>84</v>
      </c>
      <c r="F169" s="37">
        <v>55</v>
      </c>
      <c r="G169" s="37">
        <v>9</v>
      </c>
      <c r="H169" s="37">
        <v>0</v>
      </c>
      <c r="J169" s="186"/>
      <c r="K169" s="37"/>
    </row>
    <row r="170" spans="1:22" hidden="1" x14ac:dyDescent="0.25">
      <c r="A170" s="12">
        <v>41852</v>
      </c>
      <c r="B170" s="37">
        <v>682</v>
      </c>
      <c r="C170" s="37">
        <v>373</v>
      </c>
      <c r="D170" s="37">
        <v>119</v>
      </c>
      <c r="E170" s="37">
        <v>88</v>
      </c>
      <c r="F170" s="37">
        <v>91</v>
      </c>
      <c r="G170" s="37">
        <v>10</v>
      </c>
      <c r="H170" s="37">
        <v>1</v>
      </c>
      <c r="J170" s="186"/>
      <c r="K170" s="37"/>
    </row>
    <row r="171" spans="1:22" s="186" customFormat="1" hidden="1" x14ac:dyDescent="0.25">
      <c r="A171" s="12">
        <v>41883</v>
      </c>
      <c r="B171" s="187">
        <v>748</v>
      </c>
      <c r="C171" s="187">
        <v>385</v>
      </c>
      <c r="D171" s="187">
        <v>166</v>
      </c>
      <c r="E171" s="187">
        <v>70</v>
      </c>
      <c r="F171" s="187">
        <v>118</v>
      </c>
      <c r="G171" s="187">
        <v>8</v>
      </c>
      <c r="H171" s="187">
        <v>1</v>
      </c>
      <c r="K171" s="187"/>
      <c r="U171" s="32"/>
      <c r="V171" s="32"/>
    </row>
    <row r="172" spans="1:22" hidden="1" x14ac:dyDescent="0.25">
      <c r="A172" s="12">
        <v>41913</v>
      </c>
      <c r="B172" s="37">
        <v>722</v>
      </c>
      <c r="C172" s="37">
        <v>381</v>
      </c>
      <c r="D172" s="37">
        <v>112</v>
      </c>
      <c r="E172" s="37">
        <v>97</v>
      </c>
      <c r="F172" s="37">
        <v>111</v>
      </c>
      <c r="G172" s="187">
        <v>21</v>
      </c>
      <c r="H172" s="187">
        <v>0</v>
      </c>
      <c r="J172" s="186"/>
    </row>
    <row r="173" spans="1:22" hidden="1" x14ac:dyDescent="0.25">
      <c r="A173" s="12">
        <v>41944</v>
      </c>
      <c r="B173" s="37">
        <v>768</v>
      </c>
      <c r="C173" s="37">
        <v>359</v>
      </c>
      <c r="D173" s="37">
        <v>160</v>
      </c>
      <c r="E173" s="37">
        <v>66</v>
      </c>
      <c r="F173" s="37">
        <v>141</v>
      </c>
      <c r="G173" s="187">
        <v>42</v>
      </c>
      <c r="H173" s="187">
        <v>0</v>
      </c>
      <c r="J173" s="186"/>
    </row>
    <row r="174" spans="1:22" hidden="1" x14ac:dyDescent="0.25">
      <c r="A174" s="1">
        <v>41974</v>
      </c>
      <c r="B174" s="37">
        <v>700</v>
      </c>
      <c r="C174" s="37">
        <v>227</v>
      </c>
      <c r="D174" s="37">
        <v>159</v>
      </c>
      <c r="E174" s="37">
        <v>118</v>
      </c>
      <c r="F174" s="37">
        <v>123</v>
      </c>
      <c r="G174" s="187">
        <v>73</v>
      </c>
      <c r="H174" s="187">
        <v>0</v>
      </c>
      <c r="J174" s="186"/>
    </row>
    <row r="175" spans="1:22" hidden="1" x14ac:dyDescent="0.25">
      <c r="A175" s="1">
        <v>42005</v>
      </c>
      <c r="B175" s="37">
        <v>789</v>
      </c>
      <c r="C175" s="37">
        <v>319</v>
      </c>
      <c r="D175" s="37">
        <v>136</v>
      </c>
      <c r="E175" s="37">
        <v>115</v>
      </c>
      <c r="F175" s="37">
        <v>151</v>
      </c>
      <c r="G175" s="187">
        <v>68</v>
      </c>
      <c r="H175" s="187">
        <v>0</v>
      </c>
      <c r="J175" s="186"/>
    </row>
    <row r="176" spans="1:22" hidden="1" x14ac:dyDescent="0.25">
      <c r="A176" s="1">
        <v>42036</v>
      </c>
      <c r="B176" s="37">
        <v>908</v>
      </c>
      <c r="C176" s="37">
        <v>438</v>
      </c>
      <c r="D176" s="37">
        <v>114</v>
      </c>
      <c r="E176" s="37">
        <v>91</v>
      </c>
      <c r="F176" s="37">
        <v>173</v>
      </c>
      <c r="G176" s="187">
        <v>92</v>
      </c>
      <c r="H176" s="187">
        <v>0</v>
      </c>
      <c r="J176" s="186"/>
    </row>
    <row r="177" spans="1:22" hidden="1" x14ac:dyDescent="0.25">
      <c r="A177" s="1">
        <v>42064</v>
      </c>
      <c r="B177" s="37">
        <v>823</v>
      </c>
      <c r="C177" s="37">
        <v>386</v>
      </c>
      <c r="D177" s="37">
        <v>177</v>
      </c>
      <c r="E177" s="37">
        <v>68</v>
      </c>
      <c r="F177" s="37">
        <v>116</v>
      </c>
      <c r="G177" s="187">
        <v>76</v>
      </c>
      <c r="H177" s="187">
        <v>0</v>
      </c>
      <c r="J177" s="186"/>
    </row>
    <row r="178" spans="1:22" hidden="1" x14ac:dyDescent="0.25">
      <c r="A178" s="1">
        <v>42095</v>
      </c>
      <c r="B178" s="187">
        <v>776</v>
      </c>
      <c r="C178" s="187">
        <v>343</v>
      </c>
      <c r="D178" s="37">
        <v>146</v>
      </c>
      <c r="E178" s="37">
        <v>114</v>
      </c>
      <c r="F178" s="37">
        <v>93</v>
      </c>
      <c r="G178" s="37">
        <v>78</v>
      </c>
      <c r="H178" s="37">
        <v>2</v>
      </c>
    </row>
    <row r="179" spans="1:22" x14ac:dyDescent="0.25">
      <c r="A179" s="1">
        <v>42125</v>
      </c>
      <c r="B179" s="187">
        <v>613</v>
      </c>
      <c r="C179" s="187">
        <v>255</v>
      </c>
      <c r="D179" s="37">
        <v>138</v>
      </c>
      <c r="E179" s="37">
        <v>100</v>
      </c>
      <c r="F179" s="37">
        <v>103</v>
      </c>
      <c r="G179" s="37">
        <v>16</v>
      </c>
      <c r="H179" s="37">
        <v>1</v>
      </c>
    </row>
    <row r="180" spans="1:22" x14ac:dyDescent="0.25">
      <c r="A180" s="1">
        <v>42156</v>
      </c>
      <c r="B180" s="187">
        <v>457</v>
      </c>
      <c r="C180" s="187">
        <v>257</v>
      </c>
      <c r="D180" s="37">
        <v>79</v>
      </c>
      <c r="E180" s="37">
        <v>60</v>
      </c>
      <c r="F180" s="37">
        <v>49</v>
      </c>
      <c r="G180" s="37">
        <v>12</v>
      </c>
      <c r="H180" s="37">
        <v>0</v>
      </c>
    </row>
    <row r="181" spans="1:22" x14ac:dyDescent="0.25">
      <c r="A181" s="1">
        <v>42200</v>
      </c>
      <c r="B181" s="187">
        <v>518</v>
      </c>
      <c r="C181" s="187">
        <v>286</v>
      </c>
      <c r="D181" s="37">
        <v>105</v>
      </c>
      <c r="E181" s="37">
        <v>42</v>
      </c>
      <c r="F181" s="37">
        <v>70</v>
      </c>
      <c r="G181" s="37">
        <v>15</v>
      </c>
      <c r="H181" s="37">
        <v>0</v>
      </c>
    </row>
    <row r="182" spans="1:22" s="186" customFormat="1" x14ac:dyDescent="0.25">
      <c r="A182" s="1">
        <v>42217</v>
      </c>
      <c r="B182" s="187">
        <v>616</v>
      </c>
      <c r="C182" s="187">
        <v>356</v>
      </c>
      <c r="D182" s="187">
        <v>105</v>
      </c>
      <c r="E182" s="187">
        <v>62</v>
      </c>
      <c r="F182" s="187">
        <v>69</v>
      </c>
      <c r="G182" s="187">
        <v>24</v>
      </c>
      <c r="H182" s="187">
        <v>0</v>
      </c>
      <c r="U182" s="32"/>
      <c r="V182" s="32"/>
    </row>
    <row r="183" spans="1:22" s="186" customFormat="1" x14ac:dyDescent="0.25">
      <c r="A183" s="1">
        <v>42262</v>
      </c>
      <c r="B183" s="187">
        <v>704</v>
      </c>
      <c r="C183" s="187">
        <v>306</v>
      </c>
      <c r="D183" s="187">
        <v>186</v>
      </c>
      <c r="E183" s="187">
        <v>75</v>
      </c>
      <c r="F183" s="187">
        <v>105</v>
      </c>
      <c r="G183" s="187">
        <v>31</v>
      </c>
      <c r="H183" s="187">
        <v>1</v>
      </c>
      <c r="U183" s="32"/>
      <c r="V183" s="32"/>
    </row>
    <row r="184" spans="1:22" s="186" customFormat="1" x14ac:dyDescent="0.25">
      <c r="A184" s="1">
        <v>42292</v>
      </c>
      <c r="B184" s="187">
        <v>866</v>
      </c>
      <c r="C184" s="187">
        <v>379</v>
      </c>
      <c r="D184" s="187">
        <v>171</v>
      </c>
      <c r="E184" s="187">
        <v>140</v>
      </c>
      <c r="F184" s="187">
        <v>130</v>
      </c>
      <c r="G184" s="187">
        <v>43</v>
      </c>
      <c r="H184" s="187">
        <v>3</v>
      </c>
      <c r="U184" s="32"/>
      <c r="V184" s="32"/>
    </row>
    <row r="185" spans="1:22" s="186" customFormat="1" x14ac:dyDescent="0.25">
      <c r="A185" s="1">
        <v>42309</v>
      </c>
      <c r="B185" s="187">
        <v>789</v>
      </c>
      <c r="C185" s="187">
        <v>281</v>
      </c>
      <c r="D185" s="187">
        <v>138</v>
      </c>
      <c r="E185" s="187">
        <v>95</v>
      </c>
      <c r="F185" s="187">
        <v>216</v>
      </c>
      <c r="G185" s="187">
        <v>56</v>
      </c>
      <c r="H185" s="187">
        <v>3</v>
      </c>
      <c r="U185" s="32"/>
      <c r="V185" s="32"/>
    </row>
    <row r="186" spans="1:22" s="186" customFormat="1" x14ac:dyDescent="0.25">
      <c r="A186" s="1">
        <v>42339</v>
      </c>
      <c r="B186" s="187">
        <v>801</v>
      </c>
      <c r="C186" s="187">
        <v>262</v>
      </c>
      <c r="D186" s="187">
        <v>120</v>
      </c>
      <c r="E186" s="187">
        <v>83</v>
      </c>
      <c r="F186" s="187">
        <v>245</v>
      </c>
      <c r="G186" s="187">
        <v>88</v>
      </c>
      <c r="H186" s="187">
        <v>3</v>
      </c>
      <c r="U186" s="32"/>
      <c r="V186" s="32"/>
    </row>
    <row r="187" spans="1:22" s="186" customFormat="1" x14ac:dyDescent="0.25">
      <c r="A187" s="1">
        <v>42370</v>
      </c>
      <c r="B187" s="187">
        <v>835</v>
      </c>
      <c r="C187" s="187">
        <v>305</v>
      </c>
      <c r="D187" s="187">
        <v>86</v>
      </c>
      <c r="E187" s="187">
        <v>82</v>
      </c>
      <c r="F187" s="187">
        <v>230</v>
      </c>
      <c r="G187" s="187">
        <v>129</v>
      </c>
      <c r="H187" s="187">
        <v>3</v>
      </c>
      <c r="U187" s="32"/>
      <c r="V187" s="32"/>
    </row>
    <row r="188" spans="1:22" s="186" customFormat="1" x14ac:dyDescent="0.25">
      <c r="A188" s="1">
        <v>42401</v>
      </c>
      <c r="B188" s="187">
        <v>709</v>
      </c>
      <c r="C188" s="187">
        <v>278</v>
      </c>
      <c r="D188" s="187">
        <v>104</v>
      </c>
      <c r="E188" s="187">
        <v>61</v>
      </c>
      <c r="F188" s="187">
        <v>128</v>
      </c>
      <c r="G188" s="187">
        <v>133</v>
      </c>
      <c r="H188" s="187">
        <v>5</v>
      </c>
      <c r="U188" s="32"/>
      <c r="V188" s="32"/>
    </row>
    <row r="189" spans="1:22" x14ac:dyDescent="0.25">
      <c r="A189" s="1">
        <v>42430</v>
      </c>
      <c r="B189" s="187">
        <v>761</v>
      </c>
      <c r="C189" s="187">
        <v>329</v>
      </c>
      <c r="D189" s="37">
        <v>102</v>
      </c>
      <c r="E189" s="37">
        <v>54</v>
      </c>
      <c r="F189" s="37">
        <v>119</v>
      </c>
      <c r="G189" s="37">
        <v>149</v>
      </c>
      <c r="H189" s="37">
        <v>8</v>
      </c>
    </row>
    <row r="190" spans="1:22" s="186" customFormat="1" x14ac:dyDescent="0.25">
      <c r="A190" s="1">
        <v>42461</v>
      </c>
      <c r="B190" s="187">
        <v>726</v>
      </c>
      <c r="C190" s="187">
        <v>210</v>
      </c>
      <c r="D190" s="187">
        <v>138</v>
      </c>
      <c r="E190" s="187">
        <v>68</v>
      </c>
      <c r="F190" s="187">
        <v>129</v>
      </c>
      <c r="G190" s="187">
        <v>169</v>
      </c>
      <c r="H190" s="187">
        <v>12</v>
      </c>
      <c r="U190" s="32"/>
      <c r="V190" s="32"/>
    </row>
    <row r="191" spans="1:22" s="186" customFormat="1" x14ac:dyDescent="0.25">
      <c r="A191" s="1">
        <v>42491</v>
      </c>
      <c r="B191" s="187">
        <v>834</v>
      </c>
      <c r="C191" s="187">
        <v>276</v>
      </c>
      <c r="D191" s="187">
        <v>102</v>
      </c>
      <c r="E191" s="187">
        <v>95</v>
      </c>
      <c r="F191" s="187">
        <v>136</v>
      </c>
      <c r="G191" s="187">
        <v>201</v>
      </c>
      <c r="H191" s="187">
        <v>24</v>
      </c>
      <c r="U191" s="32"/>
      <c r="V191" s="32"/>
    </row>
    <row r="192" spans="1:22" s="186" customFormat="1" x14ac:dyDescent="0.25">
      <c r="A192" s="1">
        <v>42522</v>
      </c>
      <c r="B192" s="187">
        <v>851</v>
      </c>
      <c r="C192" s="187">
        <v>271</v>
      </c>
      <c r="D192" s="187">
        <v>84</v>
      </c>
      <c r="E192" s="187">
        <v>64</v>
      </c>
      <c r="F192" s="187">
        <v>180</v>
      </c>
      <c r="G192" s="187">
        <v>206</v>
      </c>
      <c r="H192" s="187">
        <v>46</v>
      </c>
      <c r="U192" s="32"/>
      <c r="V192" s="32"/>
    </row>
    <row r="193" spans="1:22" s="186" customFormat="1" x14ac:dyDescent="0.25">
      <c r="A193" s="1">
        <v>42552</v>
      </c>
      <c r="B193" s="187">
        <v>933</v>
      </c>
      <c r="C193" s="187">
        <v>273</v>
      </c>
      <c r="D193" s="187">
        <v>118</v>
      </c>
      <c r="E193" s="187">
        <v>66</v>
      </c>
      <c r="F193" s="187">
        <v>182</v>
      </c>
      <c r="G193" s="187">
        <v>226</v>
      </c>
      <c r="H193" s="187">
        <v>68</v>
      </c>
      <c r="U193" s="32"/>
      <c r="V193" s="32"/>
    </row>
    <row r="194" spans="1:22" s="186" customFormat="1" x14ac:dyDescent="0.25">
      <c r="A194" s="1">
        <v>42583</v>
      </c>
      <c r="B194" s="187">
        <v>996</v>
      </c>
      <c r="C194" s="187">
        <v>431</v>
      </c>
      <c r="D194" s="187">
        <v>89</v>
      </c>
      <c r="E194" s="187">
        <v>71</v>
      </c>
      <c r="F194" s="187">
        <v>158</v>
      </c>
      <c r="G194" s="187">
        <v>147</v>
      </c>
      <c r="H194" s="187">
        <v>100</v>
      </c>
      <c r="U194" s="32"/>
      <c r="V194" s="32"/>
    </row>
    <row r="199" spans="1:22" x14ac:dyDescent="0.25">
      <c r="A199" s="3"/>
      <c r="B199" s="3"/>
    </row>
    <row r="200" spans="1:22" x14ac:dyDescent="0.25">
      <c r="C200" s="27"/>
      <c r="D200" s="27"/>
      <c r="E200" s="27"/>
      <c r="I200" s="37"/>
      <c r="J200" s="37"/>
      <c r="K200" s="37"/>
    </row>
    <row r="201" spans="1:22" x14ac:dyDescent="0.25">
      <c r="C201" s="27"/>
      <c r="D201" s="27"/>
      <c r="E201" s="52"/>
      <c r="G201"/>
    </row>
    <row r="202" spans="1:22" x14ac:dyDescent="0.25">
      <c r="C202" s="27"/>
      <c r="D202" s="27"/>
      <c r="E202" s="52"/>
      <c r="G202"/>
    </row>
    <row r="203" spans="1:22" x14ac:dyDescent="0.25">
      <c r="C203" s="27"/>
      <c r="D203" s="27"/>
      <c r="E203" s="52"/>
      <c r="G203"/>
    </row>
  </sheetData>
  <pageMargins left="0.25" right="0.25" top="0.75" bottom="0.75" header="0.3" footer="0.3"/>
  <pageSetup scale="90" orientation="portrait" r:id="rId1"/>
  <rowBreaks count="1" manualBreakCount="1">
    <brk id="20" max="16383" man="1"/>
  </rowBreaks>
  <colBreaks count="2" manualBreakCount="2">
    <brk id="5" max="1048575" man="1"/>
    <brk id="19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1"/>
  <sheetViews>
    <sheetView topLeftCell="A23" zoomScale="90" zoomScaleNormal="90" zoomScaleSheetLayoutView="50" workbookViewId="0">
      <selection activeCell="G87" sqref="G87"/>
    </sheetView>
  </sheetViews>
  <sheetFormatPr defaultRowHeight="15" x14ac:dyDescent="0.25"/>
  <cols>
    <col min="1" max="1" width="14.5703125" style="248" customWidth="1"/>
    <col min="2" max="3" width="7.85546875" customWidth="1"/>
    <col min="4" max="4" width="13.7109375" style="37" customWidth="1"/>
    <col min="5" max="5" width="14.85546875" style="37" bestFit="1" customWidth="1"/>
    <col min="6" max="6" width="6.85546875" style="37" customWidth="1"/>
    <col min="7" max="7" width="8.42578125" style="37" customWidth="1"/>
  </cols>
  <sheetData>
    <row r="1" spans="1:7" x14ac:dyDescent="0.25">
      <c r="A1" s="246"/>
      <c r="B1" s="189"/>
      <c r="C1" s="189"/>
      <c r="D1" s="188"/>
      <c r="E1" s="188"/>
    </row>
    <row r="2" spans="1:7" x14ac:dyDescent="0.25">
      <c r="A2" s="195" t="s">
        <v>57</v>
      </c>
      <c r="B2" s="194">
        <v>0.8</v>
      </c>
      <c r="C2" s="194">
        <v>0.95</v>
      </c>
      <c r="D2" s="194">
        <v>1</v>
      </c>
      <c r="E2" s="193" t="s">
        <v>479</v>
      </c>
    </row>
    <row r="3" spans="1:7" hidden="1" x14ac:dyDescent="0.25">
      <c r="A3" s="195">
        <v>41804</v>
      </c>
      <c r="B3" s="191">
        <v>76</v>
      </c>
      <c r="C3" s="191">
        <v>81</v>
      </c>
      <c r="D3" s="191"/>
      <c r="E3" s="192">
        <v>21</v>
      </c>
    </row>
    <row r="4" spans="1:7" hidden="1" x14ac:dyDescent="0.25">
      <c r="A4" s="195">
        <v>41834</v>
      </c>
      <c r="B4" s="191">
        <v>71</v>
      </c>
      <c r="C4" s="191">
        <v>91</v>
      </c>
      <c r="D4" s="191">
        <v>95</v>
      </c>
      <c r="E4" s="192">
        <v>18</v>
      </c>
    </row>
    <row r="5" spans="1:7" hidden="1" x14ac:dyDescent="0.25">
      <c r="A5" s="195">
        <v>41865</v>
      </c>
      <c r="B5" s="191">
        <v>82</v>
      </c>
      <c r="C5" s="191">
        <v>95</v>
      </c>
      <c r="D5" s="191">
        <v>95</v>
      </c>
      <c r="E5" s="196">
        <v>5</v>
      </c>
    </row>
    <row r="6" spans="1:7" s="186" customFormat="1" hidden="1" x14ac:dyDescent="0.25">
      <c r="A6" s="195">
        <v>41897</v>
      </c>
      <c r="B6" s="191">
        <v>71</v>
      </c>
      <c r="C6" s="191">
        <v>81</v>
      </c>
      <c r="D6" s="191">
        <v>86</v>
      </c>
      <c r="E6" s="196">
        <v>33</v>
      </c>
      <c r="F6" s="187"/>
      <c r="G6" s="187"/>
    </row>
    <row r="7" spans="1:7" s="186" customFormat="1" hidden="1" x14ac:dyDescent="0.25">
      <c r="A7" s="195">
        <v>41928</v>
      </c>
      <c r="B7" s="191">
        <v>80</v>
      </c>
      <c r="C7" s="191">
        <v>91</v>
      </c>
      <c r="D7" s="191">
        <v>94</v>
      </c>
      <c r="E7" s="196">
        <v>3</v>
      </c>
      <c r="F7" s="187"/>
      <c r="G7" s="187"/>
    </row>
    <row r="8" spans="1:7" s="186" customFormat="1" hidden="1" x14ac:dyDescent="0.25">
      <c r="A8" s="195">
        <v>41944</v>
      </c>
      <c r="B8" s="191">
        <v>66</v>
      </c>
      <c r="C8" s="191">
        <v>84</v>
      </c>
      <c r="D8" s="191">
        <v>88</v>
      </c>
      <c r="E8" s="196">
        <v>0</v>
      </c>
      <c r="F8" s="187"/>
      <c r="G8" s="187"/>
    </row>
    <row r="9" spans="1:7" s="186" customFormat="1" hidden="1" x14ac:dyDescent="0.25">
      <c r="A9" s="195">
        <v>41974</v>
      </c>
      <c r="B9" s="191">
        <v>78</v>
      </c>
      <c r="C9" s="191">
        <v>86</v>
      </c>
      <c r="D9" s="191">
        <v>89</v>
      </c>
      <c r="E9" s="196">
        <v>3</v>
      </c>
      <c r="F9" s="187"/>
      <c r="G9" s="187"/>
    </row>
    <row r="10" spans="1:7" s="186" customFormat="1" hidden="1" x14ac:dyDescent="0.25">
      <c r="A10" s="195">
        <v>42005</v>
      </c>
      <c r="B10" s="191">
        <v>70</v>
      </c>
      <c r="C10" s="191">
        <v>90</v>
      </c>
      <c r="D10" s="191">
        <v>98</v>
      </c>
      <c r="E10" s="196">
        <v>0</v>
      </c>
      <c r="F10" s="187"/>
      <c r="G10" s="187"/>
    </row>
    <row r="11" spans="1:7" hidden="1" x14ac:dyDescent="0.25">
      <c r="A11" s="195">
        <v>42036</v>
      </c>
      <c r="B11" s="191">
        <v>74</v>
      </c>
      <c r="C11" s="191">
        <v>93</v>
      </c>
      <c r="D11" s="90">
        <v>96</v>
      </c>
      <c r="E11" s="90">
        <v>0</v>
      </c>
    </row>
    <row r="12" spans="1:7" s="186" customFormat="1" hidden="1" x14ac:dyDescent="0.25">
      <c r="A12" s="247">
        <v>42064</v>
      </c>
      <c r="B12" s="191">
        <v>90</v>
      </c>
      <c r="C12" s="191">
        <v>96</v>
      </c>
      <c r="D12" s="90">
        <v>96</v>
      </c>
      <c r="E12" s="90">
        <v>6</v>
      </c>
      <c r="F12" s="187"/>
      <c r="G12" s="187"/>
    </row>
    <row r="13" spans="1:7" s="186" customFormat="1" hidden="1" x14ac:dyDescent="0.25">
      <c r="A13" s="195">
        <v>42095</v>
      </c>
      <c r="B13" s="191">
        <v>72</v>
      </c>
      <c r="C13" s="191">
        <v>97</v>
      </c>
      <c r="D13" s="191">
        <v>97</v>
      </c>
      <c r="E13" s="192">
        <v>0</v>
      </c>
      <c r="F13" s="187"/>
      <c r="G13" s="187"/>
    </row>
    <row r="14" spans="1:7" s="186" customFormat="1" x14ac:dyDescent="0.25">
      <c r="A14" s="195">
        <v>42125</v>
      </c>
      <c r="B14" s="191">
        <v>65</v>
      </c>
      <c r="C14" s="191">
        <v>87</v>
      </c>
      <c r="D14" s="191">
        <v>87</v>
      </c>
      <c r="E14" s="192">
        <v>2</v>
      </c>
      <c r="F14" s="187"/>
      <c r="G14" s="187"/>
    </row>
    <row r="15" spans="1:7" s="186" customFormat="1" x14ac:dyDescent="0.25">
      <c r="A15" s="195">
        <v>42156</v>
      </c>
      <c r="B15" s="191">
        <v>58</v>
      </c>
      <c r="C15" s="191">
        <v>66</v>
      </c>
      <c r="D15" s="191">
        <v>74</v>
      </c>
      <c r="E15" s="192">
        <v>0</v>
      </c>
      <c r="F15" s="187"/>
      <c r="G15" s="187"/>
    </row>
    <row r="16" spans="1:7" s="186" customFormat="1" x14ac:dyDescent="0.25">
      <c r="A16" s="195">
        <v>42200</v>
      </c>
      <c r="B16" s="191">
        <v>74</v>
      </c>
      <c r="C16" s="191">
        <v>85</v>
      </c>
      <c r="D16" s="191">
        <v>99</v>
      </c>
      <c r="E16" s="192">
        <v>0</v>
      </c>
      <c r="F16" s="187"/>
      <c r="G16" s="187"/>
    </row>
    <row r="17" spans="1:7" s="186" customFormat="1" x14ac:dyDescent="0.25">
      <c r="A17" s="195">
        <v>42217</v>
      </c>
      <c r="B17" s="191">
        <v>70</v>
      </c>
      <c r="C17" s="191">
        <v>79</v>
      </c>
      <c r="D17" s="191">
        <v>88</v>
      </c>
      <c r="E17" s="192">
        <v>1</v>
      </c>
      <c r="F17" s="187"/>
      <c r="G17" s="187"/>
    </row>
    <row r="18" spans="1:7" s="186" customFormat="1" x14ac:dyDescent="0.25">
      <c r="A18" s="195">
        <v>42262</v>
      </c>
      <c r="B18" s="191">
        <v>60</v>
      </c>
      <c r="C18" s="191">
        <v>70</v>
      </c>
      <c r="D18" s="191">
        <v>86</v>
      </c>
      <c r="E18" s="192">
        <v>1</v>
      </c>
      <c r="F18" s="187"/>
      <c r="G18" s="187"/>
    </row>
    <row r="19" spans="1:7" s="186" customFormat="1" x14ac:dyDescent="0.25">
      <c r="A19" s="195">
        <v>42292</v>
      </c>
      <c r="B19" s="191">
        <v>67</v>
      </c>
      <c r="C19" s="191">
        <v>77</v>
      </c>
      <c r="D19" s="191">
        <v>79</v>
      </c>
      <c r="E19" s="192">
        <v>4</v>
      </c>
      <c r="F19" s="187"/>
      <c r="G19" s="187"/>
    </row>
    <row r="20" spans="1:7" s="186" customFormat="1" x14ac:dyDescent="0.25">
      <c r="A20" s="195">
        <v>42309</v>
      </c>
      <c r="B20" s="191">
        <v>69</v>
      </c>
      <c r="C20" s="191">
        <v>78</v>
      </c>
      <c r="D20" s="191">
        <v>92</v>
      </c>
      <c r="E20" s="192">
        <v>3</v>
      </c>
      <c r="F20" s="187"/>
      <c r="G20" s="187"/>
    </row>
    <row r="21" spans="1:7" s="186" customFormat="1" x14ac:dyDescent="0.25">
      <c r="A21" s="195">
        <v>42353</v>
      </c>
      <c r="B21" s="191">
        <v>57</v>
      </c>
      <c r="C21" s="191">
        <v>82</v>
      </c>
      <c r="D21" s="191">
        <v>93</v>
      </c>
      <c r="E21" s="192">
        <v>4</v>
      </c>
      <c r="F21" s="187"/>
      <c r="G21" s="187"/>
    </row>
    <row r="22" spans="1:7" s="186" customFormat="1" x14ac:dyDescent="0.25">
      <c r="A22" s="195">
        <v>42370</v>
      </c>
      <c r="B22" s="191">
        <v>58</v>
      </c>
      <c r="C22" s="191">
        <v>78</v>
      </c>
      <c r="D22" s="191">
        <v>85</v>
      </c>
      <c r="E22" s="192">
        <v>14</v>
      </c>
      <c r="F22" s="187"/>
      <c r="G22" s="187"/>
    </row>
    <row r="23" spans="1:7" s="186" customFormat="1" x14ac:dyDescent="0.25">
      <c r="A23" s="195">
        <v>42401</v>
      </c>
      <c r="B23" s="191">
        <v>61</v>
      </c>
      <c r="C23" s="191">
        <v>67</v>
      </c>
      <c r="D23" s="191">
        <v>68</v>
      </c>
      <c r="E23" s="192">
        <v>6</v>
      </c>
      <c r="F23" s="187"/>
      <c r="G23" s="187"/>
    </row>
    <row r="24" spans="1:7" s="186" customFormat="1" x14ac:dyDescent="0.25">
      <c r="A24" s="195">
        <v>42430</v>
      </c>
      <c r="B24" s="191">
        <v>65</v>
      </c>
      <c r="C24" s="191">
        <v>73</v>
      </c>
      <c r="D24" s="191">
        <v>76</v>
      </c>
      <c r="E24" s="192">
        <v>3</v>
      </c>
      <c r="F24" s="187"/>
      <c r="G24" s="187"/>
    </row>
    <row r="25" spans="1:7" s="186" customFormat="1" x14ac:dyDescent="0.25">
      <c r="A25" s="195">
        <v>42461</v>
      </c>
      <c r="B25" s="191">
        <v>56</v>
      </c>
      <c r="C25" s="191">
        <v>67</v>
      </c>
      <c r="D25" s="191">
        <v>69</v>
      </c>
      <c r="E25" s="192">
        <v>0</v>
      </c>
      <c r="F25" s="187"/>
      <c r="G25" s="187"/>
    </row>
    <row r="26" spans="1:7" s="186" customFormat="1" x14ac:dyDescent="0.25">
      <c r="A26" s="195">
        <v>42491</v>
      </c>
      <c r="B26" s="191">
        <v>50</v>
      </c>
      <c r="C26" s="191">
        <v>64</v>
      </c>
      <c r="D26" s="191">
        <v>65</v>
      </c>
      <c r="E26" s="192">
        <v>69</v>
      </c>
      <c r="F26" s="187"/>
      <c r="G26" s="187"/>
    </row>
    <row r="27" spans="1:7" s="186" customFormat="1" x14ac:dyDescent="0.25">
      <c r="A27" s="195">
        <v>42522</v>
      </c>
      <c r="B27" s="191">
        <v>53</v>
      </c>
      <c r="C27" s="191">
        <v>59</v>
      </c>
      <c r="D27" s="191">
        <v>67</v>
      </c>
      <c r="E27" s="192">
        <v>56</v>
      </c>
      <c r="F27" s="187"/>
      <c r="G27" s="187"/>
    </row>
    <row r="28" spans="1:7" s="186" customFormat="1" x14ac:dyDescent="0.25">
      <c r="A28" s="195">
        <v>42552</v>
      </c>
      <c r="B28" s="191">
        <v>54</v>
      </c>
      <c r="C28" s="191">
        <v>69</v>
      </c>
      <c r="D28" s="191"/>
      <c r="E28" s="192">
        <v>6</v>
      </c>
      <c r="F28" s="187"/>
      <c r="G28" s="187"/>
    </row>
    <row r="29" spans="1:7" s="186" customFormat="1" x14ac:dyDescent="0.25">
      <c r="A29" s="195">
        <v>42583</v>
      </c>
      <c r="B29" s="191">
        <v>64</v>
      </c>
      <c r="C29" s="191"/>
      <c r="D29" s="191"/>
      <c r="E29" s="192">
        <v>58</v>
      </c>
      <c r="F29" s="187"/>
      <c r="G29" s="187"/>
    </row>
    <row r="32" spans="1:7" x14ac:dyDescent="0.25">
      <c r="B32" s="58" t="s">
        <v>161</v>
      </c>
      <c r="C32" s="58"/>
      <c r="D32" s="57"/>
      <c r="E32"/>
      <c r="F32"/>
      <c r="G32"/>
    </row>
    <row r="33" spans="1:18" x14ac:dyDescent="0.25">
      <c r="A33" s="249" t="s">
        <v>57</v>
      </c>
      <c r="B33" s="91" t="s">
        <v>0</v>
      </c>
      <c r="C33" s="91"/>
      <c r="D33" s="91" t="s">
        <v>166</v>
      </c>
      <c r="E33" s="91" t="s">
        <v>177</v>
      </c>
      <c r="F33" s="57" t="s">
        <v>178</v>
      </c>
      <c r="G33" s="57" t="s">
        <v>169</v>
      </c>
      <c r="H33" s="57" t="s">
        <v>170</v>
      </c>
      <c r="I33" s="57" t="s">
        <v>176</v>
      </c>
      <c r="J33" s="57"/>
      <c r="K33" s="57"/>
      <c r="L33" s="91"/>
      <c r="M33" s="91"/>
      <c r="N33" s="91"/>
    </row>
    <row r="34" spans="1:18" hidden="1" x14ac:dyDescent="0.25">
      <c r="A34" s="249" t="s">
        <v>168</v>
      </c>
      <c r="B34" s="55">
        <f>SUM(D34:I34)</f>
        <v>678</v>
      </c>
      <c r="C34" s="55"/>
      <c r="D34" s="91">
        <v>520</v>
      </c>
      <c r="E34" s="56">
        <v>101</v>
      </c>
      <c r="F34" s="91">
        <v>29</v>
      </c>
      <c r="G34" s="91">
        <v>22</v>
      </c>
      <c r="H34" s="91">
        <v>0</v>
      </c>
      <c r="I34" s="91">
        <v>6</v>
      </c>
      <c r="J34" s="57"/>
      <c r="K34" s="91"/>
      <c r="L34" s="91"/>
      <c r="M34" s="91"/>
      <c r="N34" s="91"/>
      <c r="O34" s="91"/>
      <c r="P34" s="91"/>
      <c r="Q34" s="91"/>
      <c r="R34" s="91"/>
    </row>
    <row r="35" spans="1:18" hidden="1" x14ac:dyDescent="0.25">
      <c r="A35" s="249" t="s">
        <v>10</v>
      </c>
      <c r="B35" s="91">
        <f>D35+E35+F35+G35+H35+I35</f>
        <v>435</v>
      </c>
      <c r="C35" s="91"/>
      <c r="D35" s="91">
        <v>231</v>
      </c>
      <c r="E35" s="91">
        <v>121</v>
      </c>
      <c r="F35" s="91">
        <v>35</v>
      </c>
      <c r="G35" s="65">
        <v>44</v>
      </c>
      <c r="H35" s="91">
        <v>0</v>
      </c>
      <c r="I35" s="91">
        <v>4</v>
      </c>
      <c r="J35" s="57"/>
      <c r="K35" s="91"/>
      <c r="L35" s="91"/>
      <c r="M35" s="91"/>
      <c r="N35" s="57"/>
      <c r="O35" s="57"/>
      <c r="P35" s="57"/>
      <c r="Q35" s="57"/>
      <c r="R35" s="57"/>
    </row>
    <row r="36" spans="1:18" hidden="1" x14ac:dyDescent="0.25">
      <c r="A36" s="249" t="s">
        <v>319</v>
      </c>
      <c r="B36" s="91">
        <v>915</v>
      </c>
      <c r="C36" s="91"/>
      <c r="D36" s="91">
        <v>614</v>
      </c>
      <c r="E36" s="91">
        <v>116</v>
      </c>
      <c r="F36" s="56">
        <v>113</v>
      </c>
      <c r="G36" s="91">
        <v>66</v>
      </c>
      <c r="H36" s="91">
        <v>1</v>
      </c>
      <c r="I36" s="91">
        <v>5</v>
      </c>
      <c r="J36" s="91"/>
      <c r="K36" s="91"/>
      <c r="L36" s="91"/>
      <c r="M36" s="91"/>
      <c r="N36" s="57"/>
      <c r="O36" s="57"/>
      <c r="P36" s="57"/>
      <c r="Q36" s="57"/>
      <c r="R36" s="57"/>
    </row>
    <row r="37" spans="1:18" hidden="1" x14ac:dyDescent="0.25">
      <c r="A37" s="249" t="s">
        <v>204</v>
      </c>
      <c r="B37" s="91">
        <v>973</v>
      </c>
      <c r="C37" s="91"/>
      <c r="D37" s="65">
        <v>628</v>
      </c>
      <c r="E37" s="65">
        <v>90</v>
      </c>
      <c r="F37" s="85">
        <v>105</v>
      </c>
      <c r="G37" s="65">
        <v>133</v>
      </c>
      <c r="H37" s="65">
        <v>12</v>
      </c>
      <c r="I37" s="65">
        <v>5</v>
      </c>
      <c r="J37" s="57"/>
      <c r="K37" s="91"/>
      <c r="L37" s="91"/>
      <c r="M37" s="146"/>
      <c r="N37" s="91"/>
      <c r="O37" s="57"/>
      <c r="P37" s="57"/>
      <c r="Q37" s="57"/>
      <c r="R37" s="57"/>
    </row>
    <row r="38" spans="1:18" hidden="1" x14ac:dyDescent="0.25">
      <c r="A38" s="250" t="s">
        <v>320</v>
      </c>
      <c r="B38" s="91">
        <v>772</v>
      </c>
      <c r="C38" s="91"/>
      <c r="D38" s="65">
        <v>606</v>
      </c>
      <c r="E38" s="65">
        <v>74</v>
      </c>
      <c r="F38" s="85">
        <v>16</v>
      </c>
      <c r="G38" s="65">
        <v>58</v>
      </c>
      <c r="H38" s="65">
        <v>18</v>
      </c>
      <c r="I38" s="65">
        <v>0</v>
      </c>
      <c r="J38" s="57"/>
      <c r="K38" s="91"/>
      <c r="L38" s="91"/>
      <c r="M38" s="91"/>
      <c r="N38" s="56"/>
      <c r="O38" s="91"/>
      <c r="P38" s="91"/>
      <c r="Q38" s="91"/>
      <c r="R38" s="91"/>
    </row>
    <row r="39" spans="1:18" hidden="1" x14ac:dyDescent="0.25">
      <c r="A39" s="249" t="s">
        <v>326</v>
      </c>
      <c r="B39" s="65">
        <v>603</v>
      </c>
      <c r="C39" s="65"/>
      <c r="D39" s="65">
        <v>341</v>
      </c>
      <c r="E39" s="65">
        <v>197</v>
      </c>
      <c r="F39" s="85">
        <v>20</v>
      </c>
      <c r="G39" s="65">
        <v>30</v>
      </c>
      <c r="H39" s="65">
        <v>15</v>
      </c>
      <c r="I39" s="65">
        <v>0</v>
      </c>
      <c r="J39" s="57"/>
      <c r="K39" s="91"/>
      <c r="L39" s="91"/>
      <c r="M39" s="91"/>
      <c r="N39" s="61"/>
      <c r="O39" s="37"/>
      <c r="P39" s="37"/>
      <c r="Q39" s="37"/>
      <c r="R39" s="37"/>
    </row>
    <row r="40" spans="1:18" hidden="1" x14ac:dyDescent="0.25">
      <c r="A40" s="249" t="s">
        <v>321</v>
      </c>
      <c r="B40" s="65">
        <v>711</v>
      </c>
      <c r="C40" s="65"/>
      <c r="D40" s="65">
        <v>454</v>
      </c>
      <c r="E40" s="65">
        <v>75</v>
      </c>
      <c r="F40" s="85">
        <v>102</v>
      </c>
      <c r="G40" s="65">
        <v>66</v>
      </c>
      <c r="H40" s="65">
        <v>8</v>
      </c>
      <c r="I40" s="65">
        <v>6</v>
      </c>
      <c r="J40" s="57"/>
      <c r="K40" s="91"/>
      <c r="L40" s="91"/>
      <c r="M40" s="91"/>
      <c r="N40" s="57"/>
    </row>
    <row r="41" spans="1:18" hidden="1" x14ac:dyDescent="0.25">
      <c r="A41" s="249" t="s">
        <v>297</v>
      </c>
      <c r="B41" s="149">
        <v>209</v>
      </c>
      <c r="C41" s="149"/>
      <c r="D41" s="149">
        <v>131</v>
      </c>
      <c r="E41" s="149">
        <v>32</v>
      </c>
      <c r="F41" s="150">
        <v>15</v>
      </c>
      <c r="G41" s="151">
        <v>39</v>
      </c>
      <c r="H41" s="152">
        <v>0</v>
      </c>
      <c r="I41" s="152">
        <v>8</v>
      </c>
      <c r="J41" s="57"/>
      <c r="K41" s="57"/>
      <c r="L41" s="57"/>
      <c r="M41" s="57"/>
      <c r="N41" s="57"/>
    </row>
    <row r="42" spans="1:18" hidden="1" x14ac:dyDescent="0.25">
      <c r="A42" s="249" t="s">
        <v>27</v>
      </c>
      <c r="B42" s="149">
        <v>149</v>
      </c>
      <c r="C42" s="149"/>
      <c r="D42" s="149">
        <v>112</v>
      </c>
      <c r="E42" s="149">
        <v>20</v>
      </c>
      <c r="F42" s="150">
        <v>9</v>
      </c>
      <c r="G42" s="149">
        <v>7</v>
      </c>
      <c r="H42" s="149">
        <v>0</v>
      </c>
      <c r="I42" s="149">
        <v>1</v>
      </c>
    </row>
    <row r="43" spans="1:18" hidden="1" x14ac:dyDescent="0.25">
      <c r="A43" s="249" t="s">
        <v>337</v>
      </c>
      <c r="B43" s="149">
        <v>243</v>
      </c>
      <c r="C43" s="149"/>
      <c r="D43" s="149">
        <v>234</v>
      </c>
      <c r="E43" s="149">
        <v>10</v>
      </c>
      <c r="F43" s="150">
        <v>1</v>
      </c>
      <c r="G43" s="149">
        <v>1</v>
      </c>
      <c r="H43" s="149">
        <v>0</v>
      </c>
      <c r="I43" s="149">
        <v>0</v>
      </c>
    </row>
    <row r="44" spans="1:18" hidden="1" x14ac:dyDescent="0.25">
      <c r="A44" s="249" t="s">
        <v>13</v>
      </c>
      <c r="B44" s="149">
        <v>395</v>
      </c>
      <c r="C44" s="149"/>
      <c r="D44" s="149">
        <v>268</v>
      </c>
      <c r="E44" s="149">
        <v>125</v>
      </c>
      <c r="F44" s="150">
        <v>2</v>
      </c>
      <c r="G44" s="149">
        <v>0</v>
      </c>
      <c r="H44" s="149">
        <v>0</v>
      </c>
      <c r="I44" s="149">
        <v>0</v>
      </c>
    </row>
    <row r="45" spans="1:18" hidden="1" x14ac:dyDescent="0.25">
      <c r="A45" s="249" t="s">
        <v>12</v>
      </c>
      <c r="B45" s="149">
        <v>512</v>
      </c>
      <c r="C45" s="149"/>
      <c r="D45" s="149">
        <v>268</v>
      </c>
      <c r="E45" s="149">
        <v>148</v>
      </c>
      <c r="F45" s="150">
        <v>95</v>
      </c>
      <c r="G45" s="149">
        <v>1</v>
      </c>
      <c r="H45" s="149">
        <v>0</v>
      </c>
      <c r="I45" s="149">
        <v>0</v>
      </c>
      <c r="J45" s="65"/>
      <c r="K45" s="65"/>
      <c r="L45" s="65"/>
    </row>
    <row r="46" spans="1:18" hidden="1" x14ac:dyDescent="0.25">
      <c r="A46" s="249" t="s">
        <v>11</v>
      </c>
      <c r="B46" s="147">
        <v>588</v>
      </c>
      <c r="C46" s="147"/>
      <c r="D46" s="147">
        <v>284</v>
      </c>
      <c r="E46" s="147">
        <v>140</v>
      </c>
      <c r="F46" s="147">
        <v>97</v>
      </c>
      <c r="G46" s="147">
        <v>67</v>
      </c>
      <c r="H46" s="147">
        <v>0</v>
      </c>
      <c r="I46" s="147">
        <v>0</v>
      </c>
    </row>
    <row r="47" spans="1:18" hidden="1" x14ac:dyDescent="0.25">
      <c r="A47" s="249" t="s">
        <v>10</v>
      </c>
      <c r="B47" s="147">
        <v>491</v>
      </c>
      <c r="C47" s="147"/>
      <c r="D47" s="147">
        <v>287</v>
      </c>
      <c r="E47" s="147">
        <v>137</v>
      </c>
      <c r="F47" s="147">
        <v>67</v>
      </c>
      <c r="G47" s="147">
        <v>0</v>
      </c>
      <c r="H47" s="147">
        <v>0</v>
      </c>
      <c r="I47" s="147">
        <v>0</v>
      </c>
    </row>
    <row r="48" spans="1:18" hidden="1" x14ac:dyDescent="0.25">
      <c r="A48" s="249" t="s">
        <v>403</v>
      </c>
      <c r="B48" s="147">
        <v>591</v>
      </c>
      <c r="C48" s="147"/>
      <c r="D48" s="147">
        <v>279</v>
      </c>
      <c r="E48" s="147">
        <v>118</v>
      </c>
      <c r="F48" s="147">
        <v>130</v>
      </c>
      <c r="G48" s="147">
        <v>64</v>
      </c>
      <c r="H48" s="147">
        <v>0</v>
      </c>
      <c r="I48" s="147">
        <v>0</v>
      </c>
    </row>
    <row r="49" spans="1:9" hidden="1" x14ac:dyDescent="0.25">
      <c r="A49" s="249" t="s">
        <v>204</v>
      </c>
      <c r="B49" s="147">
        <v>563</v>
      </c>
      <c r="C49" s="105"/>
      <c r="D49" s="147">
        <v>272</v>
      </c>
      <c r="E49" s="147">
        <v>162</v>
      </c>
      <c r="F49" s="147">
        <v>91</v>
      </c>
      <c r="G49" s="147">
        <v>38</v>
      </c>
      <c r="H49" s="147">
        <v>0</v>
      </c>
      <c r="I49" s="147">
        <v>0</v>
      </c>
    </row>
    <row r="50" spans="1:9" hidden="1" x14ac:dyDescent="0.25">
      <c r="A50" s="249" t="s">
        <v>320</v>
      </c>
      <c r="B50" s="147">
        <v>410</v>
      </c>
      <c r="C50" s="105"/>
      <c r="D50" s="147">
        <v>361</v>
      </c>
      <c r="E50" s="147">
        <v>49</v>
      </c>
      <c r="F50" s="147">
        <v>0</v>
      </c>
      <c r="G50" s="147">
        <v>0</v>
      </c>
      <c r="H50" s="147">
        <v>0</v>
      </c>
      <c r="I50" s="147">
        <v>0</v>
      </c>
    </row>
    <row r="51" spans="1:9" hidden="1" x14ac:dyDescent="0.25">
      <c r="A51" s="249" t="s">
        <v>326</v>
      </c>
      <c r="B51" s="147">
        <v>304</v>
      </c>
      <c r="C51" s="105"/>
      <c r="D51" s="147">
        <v>131</v>
      </c>
      <c r="E51" s="147">
        <v>173</v>
      </c>
      <c r="F51" s="147">
        <v>0</v>
      </c>
      <c r="G51" s="147">
        <v>0</v>
      </c>
      <c r="H51" s="147">
        <v>0</v>
      </c>
      <c r="I51" s="147">
        <v>0</v>
      </c>
    </row>
    <row r="52" spans="1:9" hidden="1" x14ac:dyDescent="0.25">
      <c r="A52" s="249" t="s">
        <v>321</v>
      </c>
      <c r="B52" s="147">
        <v>834</v>
      </c>
      <c r="C52" s="105"/>
      <c r="D52" s="147">
        <v>239</v>
      </c>
      <c r="E52" s="147">
        <v>318</v>
      </c>
      <c r="F52" s="147">
        <v>225</v>
      </c>
      <c r="G52" s="147">
        <v>52</v>
      </c>
      <c r="H52" s="147">
        <v>0</v>
      </c>
      <c r="I52" s="147">
        <v>0</v>
      </c>
    </row>
    <row r="53" spans="1:9" hidden="1" x14ac:dyDescent="0.25">
      <c r="A53" s="249" t="s">
        <v>436</v>
      </c>
      <c r="B53" s="147">
        <v>733</v>
      </c>
      <c r="C53" s="105"/>
      <c r="D53" s="147">
        <v>241</v>
      </c>
      <c r="E53" s="147">
        <v>125</v>
      </c>
      <c r="F53" s="147">
        <v>219</v>
      </c>
      <c r="G53" s="147">
        <v>148</v>
      </c>
      <c r="H53" s="147">
        <v>0</v>
      </c>
      <c r="I53" s="147">
        <v>0</v>
      </c>
    </row>
    <row r="54" spans="1:9" hidden="1" x14ac:dyDescent="0.25">
      <c r="A54" s="249" t="s">
        <v>27</v>
      </c>
      <c r="B54" s="147">
        <v>519</v>
      </c>
      <c r="C54" s="105"/>
      <c r="D54" s="147">
        <v>77</v>
      </c>
      <c r="E54" s="147">
        <v>79</v>
      </c>
      <c r="F54" s="147">
        <v>119</v>
      </c>
      <c r="G54" s="147">
        <v>244</v>
      </c>
      <c r="H54" s="147">
        <v>0</v>
      </c>
      <c r="I54" s="147">
        <v>0</v>
      </c>
    </row>
    <row r="55" spans="1:9" hidden="1" x14ac:dyDescent="0.25">
      <c r="A55" s="249" t="s">
        <v>14</v>
      </c>
      <c r="B55" s="147">
        <v>474</v>
      </c>
      <c r="C55" s="105"/>
      <c r="D55" s="147">
        <v>187</v>
      </c>
      <c r="E55" s="147">
        <v>43</v>
      </c>
      <c r="F55" s="147">
        <v>57</v>
      </c>
      <c r="G55" s="147">
        <v>181</v>
      </c>
      <c r="H55" s="147">
        <v>6</v>
      </c>
      <c r="I55" s="147">
        <v>0</v>
      </c>
    </row>
    <row r="56" spans="1:9" hidden="1" x14ac:dyDescent="0.25">
      <c r="A56" s="249" t="s">
        <v>13</v>
      </c>
      <c r="B56" s="147">
        <v>648</v>
      </c>
      <c r="C56" s="105"/>
      <c r="D56" s="147">
        <v>273</v>
      </c>
      <c r="E56" s="147">
        <v>128</v>
      </c>
      <c r="F56" s="147">
        <v>32</v>
      </c>
      <c r="G56" s="147">
        <v>155</v>
      </c>
      <c r="H56" s="147">
        <v>60</v>
      </c>
      <c r="I56" s="147">
        <v>0</v>
      </c>
    </row>
    <row r="57" spans="1:9" hidden="1" x14ac:dyDescent="0.25">
      <c r="A57" s="249" t="s">
        <v>12</v>
      </c>
      <c r="B57" s="147">
        <v>730</v>
      </c>
      <c r="C57" s="105"/>
      <c r="D57" s="147">
        <v>189</v>
      </c>
      <c r="E57" s="147">
        <v>192</v>
      </c>
      <c r="F57" s="147">
        <v>86</v>
      </c>
      <c r="G57" s="147">
        <v>121</v>
      </c>
      <c r="H57" s="147">
        <v>142</v>
      </c>
      <c r="I57" s="147">
        <v>0</v>
      </c>
    </row>
    <row r="58" spans="1:9" hidden="1" x14ac:dyDescent="0.25">
      <c r="A58" s="249" t="s">
        <v>11</v>
      </c>
      <c r="B58" s="147">
        <v>245</v>
      </c>
      <c r="C58" s="105"/>
      <c r="D58" s="147">
        <v>106</v>
      </c>
      <c r="E58" s="147">
        <v>79</v>
      </c>
      <c r="F58" s="147">
        <v>49</v>
      </c>
      <c r="G58" s="147">
        <v>11</v>
      </c>
      <c r="H58" s="147">
        <v>0</v>
      </c>
      <c r="I58" s="147">
        <v>0</v>
      </c>
    </row>
    <row r="59" spans="1:9" hidden="1" x14ac:dyDescent="0.25">
      <c r="A59" s="250" t="s">
        <v>10</v>
      </c>
      <c r="B59" s="190">
        <v>280</v>
      </c>
      <c r="C59" s="190"/>
      <c r="D59" s="190">
        <v>144</v>
      </c>
      <c r="E59" s="190">
        <v>56</v>
      </c>
      <c r="F59" s="190">
        <v>15</v>
      </c>
      <c r="G59" s="190">
        <v>64</v>
      </c>
      <c r="H59" s="190">
        <v>1</v>
      </c>
      <c r="I59" s="190">
        <v>0</v>
      </c>
    </row>
    <row r="60" spans="1:9" s="186" customFormat="1" hidden="1" x14ac:dyDescent="0.25">
      <c r="A60" s="250" t="s">
        <v>403</v>
      </c>
      <c r="B60" s="190">
        <v>162</v>
      </c>
      <c r="C60" s="190"/>
      <c r="D60" s="190">
        <v>70</v>
      </c>
      <c r="E60" s="190">
        <v>13</v>
      </c>
      <c r="F60" s="190">
        <v>26</v>
      </c>
      <c r="G60" s="190">
        <v>52</v>
      </c>
      <c r="H60" s="190">
        <v>1</v>
      </c>
      <c r="I60" s="190">
        <v>0</v>
      </c>
    </row>
    <row r="61" spans="1:9" hidden="1" x14ac:dyDescent="0.25">
      <c r="A61" s="250" t="s">
        <v>204</v>
      </c>
      <c r="B61" s="190">
        <v>155</v>
      </c>
      <c r="C61" s="105"/>
      <c r="D61" s="190">
        <v>97</v>
      </c>
      <c r="E61" s="190">
        <v>18</v>
      </c>
      <c r="F61" s="190">
        <v>9</v>
      </c>
      <c r="G61" s="190">
        <v>28</v>
      </c>
      <c r="H61" s="190">
        <v>3</v>
      </c>
      <c r="I61" s="190">
        <v>0</v>
      </c>
    </row>
    <row r="62" spans="1:9" hidden="1" x14ac:dyDescent="0.25">
      <c r="A62" s="250">
        <v>42278</v>
      </c>
      <c r="B62" s="190">
        <v>210</v>
      </c>
      <c r="C62" s="105"/>
      <c r="D62" s="190">
        <v>128</v>
      </c>
      <c r="E62" s="190">
        <v>54</v>
      </c>
      <c r="F62" s="190">
        <v>13</v>
      </c>
      <c r="G62" s="190">
        <v>15</v>
      </c>
      <c r="H62" s="190">
        <v>0</v>
      </c>
      <c r="I62" s="190">
        <v>0</v>
      </c>
    </row>
    <row r="63" spans="1:9" hidden="1" x14ac:dyDescent="0.25">
      <c r="A63" s="250">
        <v>42309</v>
      </c>
      <c r="B63" s="190">
        <v>395</v>
      </c>
      <c r="C63" s="105"/>
      <c r="D63" s="190">
        <v>286</v>
      </c>
      <c r="E63" s="190">
        <v>53</v>
      </c>
      <c r="F63" s="190">
        <v>32</v>
      </c>
      <c r="G63" s="190">
        <v>24</v>
      </c>
      <c r="H63" s="190">
        <v>0</v>
      </c>
      <c r="I63" s="190">
        <v>0</v>
      </c>
    </row>
    <row r="64" spans="1:9" hidden="1" x14ac:dyDescent="0.25">
      <c r="A64" s="249">
        <v>42339</v>
      </c>
      <c r="B64" s="190">
        <v>305</v>
      </c>
      <c r="C64" s="105"/>
      <c r="D64" s="190">
        <v>72</v>
      </c>
      <c r="E64" s="190">
        <v>132</v>
      </c>
      <c r="F64" s="190">
        <v>23</v>
      </c>
      <c r="G64" s="190">
        <v>59</v>
      </c>
      <c r="H64" s="190">
        <v>18</v>
      </c>
      <c r="I64" s="190">
        <v>1</v>
      </c>
    </row>
    <row r="65" spans="1:9" hidden="1" x14ac:dyDescent="0.25">
      <c r="A65" s="249">
        <v>42005</v>
      </c>
      <c r="B65" s="190">
        <v>329</v>
      </c>
      <c r="C65" s="105"/>
      <c r="D65" s="190">
        <v>111</v>
      </c>
      <c r="E65" s="190">
        <v>14</v>
      </c>
      <c r="F65" s="190">
        <v>64</v>
      </c>
      <c r="G65" s="190">
        <v>129</v>
      </c>
      <c r="H65" s="190">
        <v>11</v>
      </c>
      <c r="I65" s="190">
        <v>218</v>
      </c>
    </row>
    <row r="66" spans="1:9" s="186" customFormat="1" hidden="1" x14ac:dyDescent="0.25">
      <c r="A66" s="249">
        <v>42036</v>
      </c>
      <c r="B66" s="190">
        <v>260</v>
      </c>
      <c r="C66" s="105"/>
      <c r="D66" s="190">
        <v>95</v>
      </c>
      <c r="E66" s="190">
        <v>34</v>
      </c>
      <c r="F66" s="190">
        <v>22</v>
      </c>
      <c r="G66" s="190">
        <v>87</v>
      </c>
      <c r="H66" s="190">
        <v>22</v>
      </c>
      <c r="I66" s="190">
        <v>0</v>
      </c>
    </row>
    <row r="67" spans="1:9" hidden="1" x14ac:dyDescent="0.25">
      <c r="A67" s="249">
        <v>42064</v>
      </c>
      <c r="B67" s="190">
        <v>35</v>
      </c>
      <c r="C67" s="105"/>
      <c r="D67" s="190">
        <v>23</v>
      </c>
      <c r="E67" s="190">
        <v>12</v>
      </c>
      <c r="F67" s="190">
        <v>0</v>
      </c>
      <c r="G67" s="190">
        <v>0</v>
      </c>
      <c r="H67" s="190">
        <v>0</v>
      </c>
      <c r="I67" s="190">
        <v>0</v>
      </c>
    </row>
    <row r="68" spans="1:9" hidden="1" x14ac:dyDescent="0.25">
      <c r="A68" s="249">
        <v>42109</v>
      </c>
      <c r="B68" s="190">
        <v>199</v>
      </c>
      <c r="C68" s="105"/>
      <c r="D68" s="190">
        <v>199</v>
      </c>
      <c r="E68" s="190">
        <v>0</v>
      </c>
      <c r="F68" s="190">
        <v>0</v>
      </c>
      <c r="G68" s="190">
        <v>0</v>
      </c>
      <c r="H68" s="190">
        <v>0</v>
      </c>
      <c r="I68" s="190">
        <v>0</v>
      </c>
    </row>
    <row r="69" spans="1:9" x14ac:dyDescent="0.25">
      <c r="A69" s="249">
        <v>42125</v>
      </c>
      <c r="B69" s="190">
        <v>359</v>
      </c>
      <c r="C69" s="105"/>
      <c r="D69" s="190">
        <v>338</v>
      </c>
      <c r="E69" s="190">
        <v>21</v>
      </c>
      <c r="F69" s="190">
        <v>0</v>
      </c>
      <c r="G69" s="190">
        <v>0</v>
      </c>
      <c r="H69" s="190">
        <v>0</v>
      </c>
      <c r="I69" s="190">
        <v>0</v>
      </c>
    </row>
    <row r="70" spans="1:9" x14ac:dyDescent="0.25">
      <c r="A70" s="249">
        <v>42156</v>
      </c>
      <c r="B70" s="190">
        <v>370</v>
      </c>
      <c r="C70" s="105"/>
      <c r="D70" s="190">
        <v>257</v>
      </c>
      <c r="E70" s="190">
        <v>110</v>
      </c>
      <c r="F70" s="190">
        <v>3</v>
      </c>
      <c r="G70" s="190">
        <v>0</v>
      </c>
      <c r="H70" s="190">
        <v>0</v>
      </c>
      <c r="I70" s="190">
        <v>0</v>
      </c>
    </row>
    <row r="71" spans="1:9" x14ac:dyDescent="0.25">
      <c r="A71" s="249">
        <v>42186</v>
      </c>
      <c r="B71" s="190">
        <v>271</v>
      </c>
      <c r="C71" s="190"/>
      <c r="D71" s="190">
        <v>142</v>
      </c>
      <c r="E71" s="190">
        <v>86</v>
      </c>
      <c r="F71" s="190">
        <v>5</v>
      </c>
      <c r="G71" s="190">
        <v>38</v>
      </c>
      <c r="H71" s="190">
        <v>0</v>
      </c>
      <c r="I71" s="190">
        <v>0</v>
      </c>
    </row>
    <row r="72" spans="1:9" s="186" customFormat="1" x14ac:dyDescent="0.25">
      <c r="A72" s="249">
        <v>42217</v>
      </c>
      <c r="B72" s="190">
        <v>347</v>
      </c>
      <c r="C72" s="190"/>
      <c r="D72" s="190">
        <v>145</v>
      </c>
      <c r="E72" s="190">
        <v>16</v>
      </c>
      <c r="F72" s="190">
        <v>74</v>
      </c>
      <c r="G72" s="190">
        <v>77</v>
      </c>
      <c r="H72" s="190">
        <v>15</v>
      </c>
      <c r="I72" s="190">
        <v>20</v>
      </c>
    </row>
    <row r="73" spans="1:9" s="186" customFormat="1" x14ac:dyDescent="0.25">
      <c r="A73" s="249">
        <v>42248</v>
      </c>
      <c r="B73" s="190">
        <v>266</v>
      </c>
      <c r="C73" s="190"/>
      <c r="D73" s="190">
        <v>180</v>
      </c>
      <c r="E73" s="190">
        <v>86</v>
      </c>
      <c r="F73" s="190">
        <v>0</v>
      </c>
      <c r="G73" s="190">
        <v>0</v>
      </c>
      <c r="H73" s="190">
        <v>0</v>
      </c>
      <c r="I73" s="190">
        <v>0</v>
      </c>
    </row>
    <row r="74" spans="1:9" s="186" customFormat="1" x14ac:dyDescent="0.25">
      <c r="A74" s="249">
        <v>42278</v>
      </c>
      <c r="B74" s="190">
        <v>373</v>
      </c>
      <c r="C74" s="190"/>
      <c r="D74" s="190">
        <v>240</v>
      </c>
      <c r="E74" s="190">
        <v>129</v>
      </c>
      <c r="F74" s="190">
        <v>2</v>
      </c>
      <c r="G74" s="190">
        <v>2</v>
      </c>
      <c r="H74" s="190">
        <v>0</v>
      </c>
      <c r="I74" s="190">
        <v>0</v>
      </c>
    </row>
    <row r="75" spans="1:9" s="186" customFormat="1" x14ac:dyDescent="0.25">
      <c r="A75" s="249">
        <v>42309</v>
      </c>
      <c r="B75" s="190">
        <v>459</v>
      </c>
      <c r="C75" s="190"/>
      <c r="D75" s="190">
        <v>230</v>
      </c>
      <c r="E75" s="190">
        <v>166</v>
      </c>
      <c r="F75" s="190">
        <v>59</v>
      </c>
      <c r="G75" s="190">
        <v>3</v>
      </c>
      <c r="H75" s="190">
        <v>1</v>
      </c>
      <c r="I75" s="190">
        <v>0</v>
      </c>
    </row>
    <row r="76" spans="1:9" x14ac:dyDescent="0.25">
      <c r="A76" s="249">
        <v>42339</v>
      </c>
      <c r="B76" s="190">
        <v>496</v>
      </c>
      <c r="C76" s="190"/>
      <c r="D76" s="190">
        <v>169</v>
      </c>
      <c r="E76" s="190">
        <v>163</v>
      </c>
      <c r="F76" s="190">
        <v>7</v>
      </c>
      <c r="G76" s="190">
        <v>157</v>
      </c>
      <c r="H76" s="190">
        <v>0</v>
      </c>
      <c r="I76" s="190">
        <v>0</v>
      </c>
    </row>
    <row r="77" spans="1:9" s="186" customFormat="1" x14ac:dyDescent="0.25">
      <c r="A77" s="249">
        <v>42370</v>
      </c>
      <c r="B77" s="190">
        <v>285</v>
      </c>
      <c r="C77" s="190"/>
      <c r="D77" s="190">
        <v>159</v>
      </c>
      <c r="E77" s="190">
        <v>25</v>
      </c>
      <c r="F77" s="190">
        <v>46</v>
      </c>
      <c r="G77" s="190">
        <v>55</v>
      </c>
      <c r="H77" s="190">
        <v>0</v>
      </c>
      <c r="I77" s="190">
        <v>0</v>
      </c>
    </row>
    <row r="78" spans="1:9" s="186" customFormat="1" x14ac:dyDescent="0.25">
      <c r="A78" s="249">
        <v>42401</v>
      </c>
      <c r="B78" s="190">
        <v>214</v>
      </c>
      <c r="C78" s="190"/>
      <c r="D78" s="190">
        <v>141</v>
      </c>
      <c r="E78" s="190">
        <v>70</v>
      </c>
      <c r="F78" s="190">
        <v>0</v>
      </c>
      <c r="G78" s="190">
        <v>3</v>
      </c>
      <c r="H78" s="190">
        <v>0</v>
      </c>
      <c r="I78" s="190">
        <v>0</v>
      </c>
    </row>
    <row r="79" spans="1:9" s="186" customFormat="1" x14ac:dyDescent="0.25">
      <c r="A79" s="249">
        <v>42430</v>
      </c>
      <c r="B79" s="190">
        <v>298</v>
      </c>
      <c r="C79" s="190"/>
      <c r="D79" s="190">
        <v>138</v>
      </c>
      <c r="E79" s="190">
        <v>118</v>
      </c>
      <c r="F79" s="190">
        <v>42</v>
      </c>
      <c r="G79" s="190">
        <v>0</v>
      </c>
      <c r="H79" s="190">
        <v>0</v>
      </c>
      <c r="I79" s="190">
        <v>0</v>
      </c>
    </row>
    <row r="80" spans="1:9" s="186" customFormat="1" x14ac:dyDescent="0.25">
      <c r="A80" s="249">
        <v>42461</v>
      </c>
      <c r="B80" s="190">
        <v>559</v>
      </c>
      <c r="C80" s="190"/>
      <c r="D80" s="190">
        <v>305</v>
      </c>
      <c r="E80" s="190">
        <v>103</v>
      </c>
      <c r="F80" s="190">
        <v>111</v>
      </c>
      <c r="G80" s="190">
        <v>40</v>
      </c>
      <c r="H80" s="190">
        <v>0</v>
      </c>
      <c r="I80" s="190">
        <v>0</v>
      </c>
    </row>
    <row r="81" spans="1:9" s="186" customFormat="1" x14ac:dyDescent="0.25">
      <c r="A81" s="249">
        <v>42491</v>
      </c>
      <c r="B81" s="190">
        <v>528</v>
      </c>
      <c r="C81" s="190"/>
      <c r="D81" s="190">
        <v>388</v>
      </c>
      <c r="E81" s="190">
        <v>68</v>
      </c>
      <c r="F81" s="190">
        <v>6</v>
      </c>
      <c r="G81" s="190">
        <v>66</v>
      </c>
      <c r="H81" s="190">
        <v>0</v>
      </c>
      <c r="I81" s="190">
        <v>0</v>
      </c>
    </row>
    <row r="82" spans="1:9" s="186" customFormat="1" x14ac:dyDescent="0.25">
      <c r="A82" s="249">
        <v>42522</v>
      </c>
      <c r="B82" s="190">
        <v>602</v>
      </c>
      <c r="C82" s="190"/>
      <c r="D82" s="190">
        <v>230</v>
      </c>
      <c r="E82" s="190">
        <v>254</v>
      </c>
      <c r="F82" s="190">
        <v>54</v>
      </c>
      <c r="G82" s="190">
        <v>63</v>
      </c>
      <c r="H82" s="190">
        <v>1</v>
      </c>
      <c r="I82" s="190">
        <v>0</v>
      </c>
    </row>
    <row r="83" spans="1:9" s="186" customFormat="1" x14ac:dyDescent="0.25">
      <c r="A83" s="249">
        <v>42552</v>
      </c>
      <c r="B83" s="190">
        <v>810</v>
      </c>
      <c r="C83" s="190"/>
      <c r="D83" s="190">
        <v>250</v>
      </c>
      <c r="E83" s="190">
        <v>195</v>
      </c>
      <c r="F83" s="190">
        <v>15</v>
      </c>
      <c r="G83" s="190">
        <v>325</v>
      </c>
      <c r="H83" s="190">
        <v>25</v>
      </c>
      <c r="I83" s="190">
        <v>0</v>
      </c>
    </row>
    <row r="84" spans="1:9" s="186" customFormat="1" x14ac:dyDescent="0.25">
      <c r="A84" s="249">
        <v>42583</v>
      </c>
      <c r="B84" s="190">
        <v>479</v>
      </c>
      <c r="C84" s="190"/>
      <c r="D84" s="190">
        <v>91</v>
      </c>
      <c r="E84" s="190">
        <v>21</v>
      </c>
      <c r="F84" s="190">
        <v>107</v>
      </c>
      <c r="G84" s="190">
        <v>250</v>
      </c>
      <c r="H84" s="190">
        <v>10</v>
      </c>
      <c r="I84" s="190">
        <v>0</v>
      </c>
    </row>
    <row r="85" spans="1:9" x14ac:dyDescent="0.25">
      <c r="D85"/>
      <c r="E85"/>
      <c r="F85"/>
      <c r="G85"/>
    </row>
    <row r="86" spans="1:9" x14ac:dyDescent="0.25">
      <c r="D86"/>
      <c r="E86"/>
      <c r="F86"/>
      <c r="G86"/>
    </row>
    <row r="87" spans="1:9" x14ac:dyDescent="0.25">
      <c r="D87"/>
      <c r="E87"/>
      <c r="F87"/>
      <c r="G87"/>
    </row>
    <row r="88" spans="1:9" x14ac:dyDescent="0.25">
      <c r="D88"/>
      <c r="E88"/>
      <c r="F88"/>
      <c r="G88"/>
    </row>
    <row r="89" spans="1:9" x14ac:dyDescent="0.25">
      <c r="D89"/>
      <c r="E89"/>
      <c r="F89"/>
      <c r="G89"/>
    </row>
    <row r="90" spans="1:9" x14ac:dyDescent="0.25">
      <c r="D90"/>
      <c r="E90"/>
      <c r="F90"/>
      <c r="G90"/>
    </row>
    <row r="91" spans="1:9" x14ac:dyDescent="0.25">
      <c r="D91"/>
      <c r="E91"/>
      <c r="F91"/>
      <c r="G91"/>
    </row>
    <row r="92" spans="1:9" x14ac:dyDescent="0.25">
      <c r="D92"/>
      <c r="E92"/>
      <c r="F92"/>
      <c r="G92"/>
    </row>
    <row r="93" spans="1:9" x14ac:dyDescent="0.25">
      <c r="D93"/>
      <c r="E93"/>
      <c r="F93"/>
      <c r="G93"/>
    </row>
    <row r="94" spans="1:9" x14ac:dyDescent="0.25">
      <c r="D94"/>
      <c r="E94"/>
      <c r="F94"/>
      <c r="G94"/>
    </row>
    <row r="95" spans="1:9" x14ac:dyDescent="0.25">
      <c r="D95"/>
      <c r="E95"/>
      <c r="F95"/>
      <c r="G95"/>
    </row>
    <row r="96" spans="1:9" x14ac:dyDescent="0.25">
      <c r="D96"/>
      <c r="E96"/>
      <c r="F96"/>
      <c r="G96"/>
    </row>
    <row r="97" spans="4:7" x14ac:dyDescent="0.25">
      <c r="D97"/>
      <c r="E97"/>
      <c r="F97"/>
      <c r="G97"/>
    </row>
    <row r="98" spans="4:7" x14ac:dyDescent="0.25">
      <c r="D98"/>
      <c r="E98"/>
      <c r="F98"/>
      <c r="G98"/>
    </row>
    <row r="99" spans="4:7" x14ac:dyDescent="0.25">
      <c r="D99"/>
      <c r="E99"/>
      <c r="F99"/>
      <c r="G99"/>
    </row>
    <row r="100" spans="4:7" x14ac:dyDescent="0.25">
      <c r="D100"/>
      <c r="E100"/>
      <c r="F100"/>
      <c r="G100"/>
    </row>
    <row r="101" spans="4:7" x14ac:dyDescent="0.25">
      <c r="D101"/>
      <c r="E101"/>
      <c r="F101"/>
      <c r="G101"/>
    </row>
    <row r="102" spans="4:7" x14ac:dyDescent="0.25">
      <c r="D102"/>
      <c r="E102"/>
      <c r="F102"/>
      <c r="G102"/>
    </row>
    <row r="103" spans="4:7" x14ac:dyDescent="0.25">
      <c r="D103"/>
      <c r="E103"/>
      <c r="F103"/>
      <c r="G103"/>
    </row>
    <row r="104" spans="4:7" x14ac:dyDescent="0.25">
      <c r="D104"/>
      <c r="E104"/>
      <c r="F104"/>
      <c r="G104"/>
    </row>
    <row r="105" spans="4:7" x14ac:dyDescent="0.25">
      <c r="D105"/>
      <c r="E105"/>
      <c r="F105"/>
      <c r="G105"/>
    </row>
    <row r="106" spans="4:7" x14ac:dyDescent="0.25">
      <c r="D106"/>
      <c r="E106"/>
      <c r="F106"/>
      <c r="G106"/>
    </row>
    <row r="107" spans="4:7" x14ac:dyDescent="0.25">
      <c r="D107"/>
      <c r="E107"/>
      <c r="F107"/>
      <c r="G107"/>
    </row>
    <row r="108" spans="4:7" x14ac:dyDescent="0.25">
      <c r="D108"/>
      <c r="E108"/>
      <c r="F108"/>
      <c r="G108"/>
    </row>
    <row r="109" spans="4:7" x14ac:dyDescent="0.25">
      <c r="D109"/>
      <c r="E109"/>
      <c r="F109"/>
      <c r="G109"/>
    </row>
    <row r="110" spans="4:7" x14ac:dyDescent="0.25">
      <c r="D110"/>
      <c r="E110"/>
      <c r="F110"/>
      <c r="G110"/>
    </row>
    <row r="111" spans="4:7" x14ac:dyDescent="0.25">
      <c r="D111"/>
      <c r="E111"/>
      <c r="F111"/>
      <c r="G111"/>
    </row>
  </sheetData>
  <pageMargins left="0.3" right="0.3" top="0.75" bottom="0.75" header="0.3" footer="0.3"/>
  <pageSetup orientation="portrait" r:id="rId1"/>
  <colBreaks count="2" manualBreakCount="2">
    <brk id="5" max="1048575" man="1"/>
    <brk id="15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5"/>
  <sheetViews>
    <sheetView zoomScale="90" zoomScaleNormal="90" zoomScaleSheetLayoutView="50" workbookViewId="0">
      <selection activeCell="D38" sqref="D38"/>
    </sheetView>
  </sheetViews>
  <sheetFormatPr defaultRowHeight="15" x14ac:dyDescent="0.25"/>
  <cols>
    <col min="1" max="1" width="22.7109375" bestFit="1" customWidth="1"/>
    <col min="2" max="2" width="10.85546875" style="37" customWidth="1"/>
    <col min="3" max="3" width="12" style="37" customWidth="1"/>
    <col min="4" max="4" width="10.42578125" style="37" bestFit="1" customWidth="1"/>
    <col min="5" max="6" width="12.7109375" customWidth="1"/>
    <col min="7" max="7" width="9.28515625" bestFit="1" customWidth="1"/>
    <col min="8" max="8" width="6.28515625" customWidth="1"/>
    <col min="9" max="9" width="9" customWidth="1"/>
    <col min="10" max="10" width="6.85546875" customWidth="1"/>
    <col min="11" max="11" width="5.7109375" customWidth="1"/>
    <col min="12" max="12" width="5.42578125" customWidth="1"/>
    <col min="13" max="13" width="11.5703125" customWidth="1"/>
  </cols>
  <sheetData>
    <row r="1" spans="1:14" ht="27.6" customHeight="1" x14ac:dyDescent="0.25">
      <c r="A1" s="5" t="s">
        <v>445</v>
      </c>
      <c r="F1" s="57"/>
      <c r="G1" s="252"/>
      <c r="H1" s="253"/>
      <c r="I1" s="253"/>
      <c r="J1" s="253"/>
      <c r="K1" s="253"/>
      <c r="L1" s="253"/>
      <c r="M1" s="253"/>
      <c r="N1" s="3"/>
    </row>
    <row r="2" spans="1:14" ht="64.5" customHeight="1" x14ac:dyDescent="0.25">
      <c r="A2" s="22" t="s">
        <v>57</v>
      </c>
      <c r="B2" s="22" t="s">
        <v>444</v>
      </c>
      <c r="C2" s="22" t="s">
        <v>2</v>
      </c>
      <c r="D2" s="22" t="s">
        <v>495</v>
      </c>
      <c r="E2" s="22" t="s">
        <v>496</v>
      </c>
      <c r="F2" s="176"/>
      <c r="G2" s="122"/>
      <c r="H2" s="122"/>
      <c r="I2" s="122"/>
      <c r="J2" s="122"/>
      <c r="K2" s="122"/>
      <c r="L2" s="122"/>
      <c r="M2" s="177"/>
    </row>
    <row r="3" spans="1:14" hidden="1" x14ac:dyDescent="0.25">
      <c r="A3" s="1">
        <v>41640</v>
      </c>
      <c r="B3" s="19">
        <v>0.78600000000000003</v>
      </c>
      <c r="C3" s="19">
        <v>0.9</v>
      </c>
      <c r="D3" s="53">
        <v>15</v>
      </c>
      <c r="E3" s="53">
        <v>14</v>
      </c>
      <c r="F3" s="89"/>
      <c r="G3" s="57"/>
      <c r="H3" s="57"/>
      <c r="I3" s="57"/>
      <c r="J3" s="57"/>
      <c r="K3" s="57"/>
      <c r="L3" s="57"/>
      <c r="M3" s="57"/>
    </row>
    <row r="4" spans="1:14" hidden="1" x14ac:dyDescent="0.25">
      <c r="A4" s="1">
        <v>41671</v>
      </c>
      <c r="B4" s="19">
        <v>1</v>
      </c>
      <c r="C4" s="19">
        <v>0.9</v>
      </c>
      <c r="D4" s="53">
        <v>21</v>
      </c>
      <c r="E4" s="53">
        <v>8</v>
      </c>
      <c r="F4" s="89"/>
      <c r="G4" s="57"/>
      <c r="H4" s="57"/>
      <c r="I4" s="57"/>
      <c r="J4" s="57"/>
      <c r="K4" s="57"/>
      <c r="L4" s="57"/>
      <c r="M4" s="57"/>
    </row>
    <row r="5" spans="1:14" hidden="1" x14ac:dyDescent="0.25">
      <c r="A5" s="1">
        <v>41699</v>
      </c>
      <c r="B5" s="19">
        <v>0.87</v>
      </c>
      <c r="C5" s="19">
        <v>0.9</v>
      </c>
      <c r="D5" s="53">
        <v>25</v>
      </c>
      <c r="E5" s="53">
        <v>25</v>
      </c>
      <c r="F5" s="89"/>
      <c r="G5" s="57"/>
      <c r="H5" s="57"/>
      <c r="I5" s="57"/>
      <c r="J5" s="57"/>
      <c r="K5" s="57"/>
      <c r="L5" s="57"/>
      <c r="M5" s="57"/>
    </row>
    <row r="6" spans="1:14" hidden="1" x14ac:dyDescent="0.25">
      <c r="A6" s="1">
        <v>41730</v>
      </c>
      <c r="B6" s="19">
        <v>0.52900000000000003</v>
      </c>
      <c r="C6" s="19">
        <v>0.9</v>
      </c>
      <c r="D6" s="53">
        <v>30</v>
      </c>
      <c r="E6" s="53">
        <v>15</v>
      </c>
      <c r="F6" s="89"/>
      <c r="G6" s="57"/>
      <c r="H6" s="57"/>
      <c r="I6" s="57"/>
      <c r="J6" s="57"/>
      <c r="K6" s="57"/>
      <c r="L6" s="57"/>
      <c r="M6" s="57"/>
    </row>
    <row r="7" spans="1:14" hidden="1" x14ac:dyDescent="0.25">
      <c r="A7" s="1">
        <v>41760</v>
      </c>
      <c r="B7" s="19">
        <v>0.52900000000000003</v>
      </c>
      <c r="C7" s="19">
        <v>0.9</v>
      </c>
      <c r="D7" s="53">
        <v>28</v>
      </c>
      <c r="E7" s="53">
        <v>21</v>
      </c>
      <c r="F7" s="89"/>
      <c r="G7" s="57"/>
      <c r="H7" s="57"/>
      <c r="I7" s="57"/>
      <c r="J7" s="57"/>
      <c r="K7" s="57"/>
      <c r="L7" s="57"/>
      <c r="M7" s="57"/>
    </row>
    <row r="8" spans="1:14" hidden="1" x14ac:dyDescent="0.25">
      <c r="A8" s="1">
        <v>41791</v>
      </c>
      <c r="B8" s="19">
        <v>0.76</v>
      </c>
      <c r="C8" s="19">
        <v>0.9</v>
      </c>
      <c r="D8" s="53">
        <v>33</v>
      </c>
      <c r="E8" s="53">
        <v>13</v>
      </c>
      <c r="F8" s="89"/>
      <c r="G8" s="57"/>
      <c r="H8" s="57"/>
      <c r="I8" s="57"/>
      <c r="J8" s="57"/>
      <c r="K8" s="57"/>
      <c r="L8" s="57"/>
      <c r="M8" s="57"/>
    </row>
    <row r="9" spans="1:14" hidden="1" x14ac:dyDescent="0.25">
      <c r="A9" s="1">
        <v>41821</v>
      </c>
      <c r="B9" s="19">
        <v>0.54800000000000004</v>
      </c>
      <c r="C9" s="19">
        <v>0.9</v>
      </c>
      <c r="D9" s="53">
        <v>16</v>
      </c>
      <c r="E9" s="53">
        <v>31</v>
      </c>
      <c r="F9" s="89"/>
      <c r="G9" s="57"/>
      <c r="H9" s="57"/>
      <c r="I9" s="57"/>
      <c r="J9" s="57"/>
      <c r="K9" s="57"/>
      <c r="L9" s="57"/>
      <c r="M9" s="57"/>
    </row>
    <row r="10" spans="1:14" hidden="1" x14ac:dyDescent="0.25">
      <c r="A10" s="1">
        <v>41852</v>
      </c>
      <c r="B10" s="19">
        <v>0.54800000000000004</v>
      </c>
      <c r="C10" s="19">
        <v>0.9</v>
      </c>
      <c r="D10" s="53">
        <v>15</v>
      </c>
      <c r="E10" s="53">
        <v>24</v>
      </c>
      <c r="F10" s="89"/>
      <c r="G10" s="57"/>
      <c r="H10" s="57"/>
      <c r="I10" s="57"/>
      <c r="J10" s="57"/>
      <c r="K10" s="57"/>
      <c r="L10" s="57"/>
      <c r="M10" s="57"/>
    </row>
    <row r="11" spans="1:14" hidden="1" x14ac:dyDescent="0.25">
      <c r="A11" s="1">
        <v>41883</v>
      </c>
      <c r="B11" s="19">
        <v>0.80100000000000005</v>
      </c>
      <c r="C11" s="19">
        <v>0.9</v>
      </c>
      <c r="D11" s="53">
        <v>19</v>
      </c>
      <c r="E11" s="53">
        <v>18</v>
      </c>
      <c r="F11" s="89"/>
      <c r="G11" s="57"/>
      <c r="H11" s="57"/>
      <c r="I11" s="57"/>
      <c r="J11" s="57"/>
      <c r="K11" s="57"/>
      <c r="L11" s="57"/>
      <c r="M11" s="57"/>
    </row>
    <row r="12" spans="1:14" hidden="1" x14ac:dyDescent="0.25">
      <c r="A12" s="1">
        <v>41913</v>
      </c>
      <c r="B12" s="19">
        <v>0.86</v>
      </c>
      <c r="C12" s="19">
        <v>0.9</v>
      </c>
      <c r="D12" s="53">
        <v>22</v>
      </c>
      <c r="E12" s="53">
        <v>7</v>
      </c>
    </row>
    <row r="13" spans="1:14" hidden="1" x14ac:dyDescent="0.25">
      <c r="A13" s="1">
        <v>41944</v>
      </c>
      <c r="B13" s="19">
        <v>0.73</v>
      </c>
      <c r="C13" s="19">
        <v>0.9</v>
      </c>
      <c r="D13" s="27">
        <v>16</v>
      </c>
      <c r="E13" s="53">
        <v>15</v>
      </c>
    </row>
    <row r="14" spans="1:14" hidden="1" x14ac:dyDescent="0.25">
      <c r="A14" s="1">
        <v>41974</v>
      </c>
      <c r="B14" s="19">
        <v>0.35</v>
      </c>
      <c r="C14" s="19">
        <v>0.9</v>
      </c>
      <c r="D14" s="27">
        <v>8</v>
      </c>
      <c r="E14" s="53">
        <v>20</v>
      </c>
      <c r="N14" s="106"/>
    </row>
    <row r="15" spans="1:14" hidden="1" x14ac:dyDescent="0.25">
      <c r="A15" s="1">
        <v>42005</v>
      </c>
      <c r="B15" s="19">
        <v>0.75</v>
      </c>
      <c r="C15" s="19">
        <v>0.85</v>
      </c>
      <c r="D15" s="27">
        <v>20</v>
      </c>
      <c r="E15" s="53">
        <v>16</v>
      </c>
    </row>
    <row r="16" spans="1:14" hidden="1" x14ac:dyDescent="0.25">
      <c r="A16" s="1">
        <v>42036</v>
      </c>
      <c r="B16" s="212">
        <v>0.78</v>
      </c>
      <c r="C16" s="212">
        <v>0.85</v>
      </c>
      <c r="D16" s="27">
        <v>20</v>
      </c>
      <c r="E16" s="53">
        <v>18</v>
      </c>
    </row>
    <row r="17" spans="1:5" hidden="1" x14ac:dyDescent="0.25">
      <c r="A17" s="1">
        <v>42064</v>
      </c>
      <c r="B17" s="212">
        <v>0.92500000000000004</v>
      </c>
      <c r="C17" s="212">
        <v>0.85</v>
      </c>
      <c r="D17" s="27">
        <v>21</v>
      </c>
      <c r="E17" s="53">
        <v>18</v>
      </c>
    </row>
    <row r="18" spans="1:5" hidden="1" x14ac:dyDescent="0.25">
      <c r="A18" s="1">
        <v>42095</v>
      </c>
      <c r="B18" s="212">
        <v>1</v>
      </c>
      <c r="C18" s="212">
        <v>0.85</v>
      </c>
      <c r="D18" s="27">
        <v>18</v>
      </c>
      <c r="E18" s="53">
        <v>13</v>
      </c>
    </row>
    <row r="19" spans="1:5" x14ac:dyDescent="0.25">
      <c r="A19" s="1">
        <v>42125</v>
      </c>
      <c r="B19" s="212">
        <v>0.77</v>
      </c>
      <c r="C19" s="212">
        <v>0.85</v>
      </c>
      <c r="D19" s="27">
        <v>13</v>
      </c>
      <c r="E19" s="53">
        <v>17</v>
      </c>
    </row>
    <row r="20" spans="1:5" x14ac:dyDescent="0.25">
      <c r="A20" s="1">
        <v>42156</v>
      </c>
      <c r="B20" s="212">
        <v>0.93</v>
      </c>
      <c r="C20" s="212">
        <v>0.85</v>
      </c>
      <c r="D20" s="27">
        <v>17</v>
      </c>
      <c r="E20" s="53">
        <v>15</v>
      </c>
    </row>
    <row r="21" spans="1:5" x14ac:dyDescent="0.25">
      <c r="A21" s="1">
        <v>42200</v>
      </c>
      <c r="B21" s="212">
        <v>0.9</v>
      </c>
      <c r="C21" s="212">
        <v>0.85</v>
      </c>
      <c r="D21" s="27">
        <v>13</v>
      </c>
      <c r="E21" s="53">
        <v>10</v>
      </c>
    </row>
    <row r="22" spans="1:5" x14ac:dyDescent="0.25">
      <c r="A22" s="1">
        <v>42231</v>
      </c>
      <c r="B22" s="212">
        <v>1</v>
      </c>
      <c r="C22" s="212">
        <v>0.85</v>
      </c>
      <c r="D22" s="27">
        <v>10</v>
      </c>
      <c r="E22" s="53">
        <v>10</v>
      </c>
    </row>
    <row r="23" spans="1:5" s="186" customFormat="1" x14ac:dyDescent="0.25">
      <c r="A23" s="1">
        <v>42262</v>
      </c>
      <c r="B23" s="212">
        <v>1</v>
      </c>
      <c r="C23" s="212">
        <v>0.85</v>
      </c>
      <c r="D23" s="27">
        <v>17</v>
      </c>
      <c r="E23" s="53">
        <v>10</v>
      </c>
    </row>
    <row r="24" spans="1:5" s="186" customFormat="1" x14ac:dyDescent="0.25">
      <c r="A24" s="1">
        <v>42292</v>
      </c>
      <c r="B24" s="212">
        <v>0.76900000000000002</v>
      </c>
      <c r="C24" s="212">
        <v>0.85</v>
      </c>
      <c r="D24" s="27">
        <v>17</v>
      </c>
      <c r="E24" s="53">
        <v>13</v>
      </c>
    </row>
    <row r="25" spans="1:5" x14ac:dyDescent="0.25">
      <c r="A25" s="1">
        <v>42309</v>
      </c>
      <c r="B25" s="212">
        <v>0.93</v>
      </c>
      <c r="C25" s="212">
        <v>0.85</v>
      </c>
      <c r="D25" s="27">
        <v>18</v>
      </c>
      <c r="E25" s="53">
        <v>14</v>
      </c>
    </row>
    <row r="26" spans="1:5" x14ac:dyDescent="0.25">
      <c r="A26" s="1">
        <v>42339</v>
      </c>
      <c r="B26" s="212">
        <v>0.94</v>
      </c>
      <c r="C26" s="212">
        <v>0.85</v>
      </c>
      <c r="D26" s="27">
        <v>13</v>
      </c>
      <c r="E26" s="53">
        <v>16</v>
      </c>
    </row>
    <row r="27" spans="1:5" s="186" customFormat="1" x14ac:dyDescent="0.25">
      <c r="A27" s="1">
        <v>42370</v>
      </c>
      <c r="B27" s="212">
        <v>0.92300000000000004</v>
      </c>
      <c r="C27" s="212">
        <v>0.85</v>
      </c>
      <c r="D27" s="27">
        <v>18</v>
      </c>
      <c r="E27" s="53">
        <v>13</v>
      </c>
    </row>
    <row r="28" spans="1:5" x14ac:dyDescent="0.25">
      <c r="A28" s="1">
        <v>42401</v>
      </c>
      <c r="B28" s="212">
        <v>1</v>
      </c>
      <c r="C28" s="212">
        <v>0.85</v>
      </c>
      <c r="D28" s="27">
        <v>15</v>
      </c>
      <c r="E28" s="53">
        <v>12</v>
      </c>
    </row>
    <row r="29" spans="1:5" x14ac:dyDescent="0.25">
      <c r="A29" s="1">
        <v>42430</v>
      </c>
      <c r="B29" s="212">
        <v>1</v>
      </c>
      <c r="C29" s="212">
        <v>0.85</v>
      </c>
      <c r="D29" s="27">
        <v>24</v>
      </c>
      <c r="E29" s="53">
        <v>15</v>
      </c>
    </row>
    <row r="30" spans="1:5" x14ac:dyDescent="0.25">
      <c r="A30" s="1">
        <v>42461</v>
      </c>
      <c r="B30" s="212">
        <v>0.88900000000000001</v>
      </c>
      <c r="C30" s="212">
        <v>0.9</v>
      </c>
      <c r="D30" s="27">
        <v>21</v>
      </c>
      <c r="E30" s="27">
        <v>18</v>
      </c>
    </row>
    <row r="31" spans="1:5" x14ac:dyDescent="0.25">
      <c r="A31" s="1">
        <v>42491</v>
      </c>
      <c r="B31" s="212">
        <v>0.9</v>
      </c>
      <c r="C31" s="212">
        <v>0.9</v>
      </c>
      <c r="D31" s="27">
        <v>15</v>
      </c>
      <c r="E31" s="27">
        <v>10</v>
      </c>
    </row>
    <row r="32" spans="1:5" s="186" customFormat="1" x14ac:dyDescent="0.25">
      <c r="A32" s="1">
        <v>42522</v>
      </c>
      <c r="B32" s="212">
        <v>1</v>
      </c>
      <c r="C32" s="212">
        <v>0.9</v>
      </c>
      <c r="D32" s="27">
        <v>26</v>
      </c>
      <c r="E32" s="27">
        <v>20</v>
      </c>
    </row>
    <row r="33" spans="1:5" x14ac:dyDescent="0.25">
      <c r="A33" s="1">
        <v>42552</v>
      </c>
      <c r="B33" s="212">
        <v>0.92</v>
      </c>
      <c r="C33" s="212">
        <v>0.9</v>
      </c>
      <c r="D33" s="27">
        <v>12</v>
      </c>
      <c r="E33" s="27">
        <v>12</v>
      </c>
    </row>
    <row r="34" spans="1:5" s="186" customFormat="1" x14ac:dyDescent="0.25">
      <c r="A34" s="1">
        <v>42583</v>
      </c>
      <c r="B34" s="212">
        <v>1</v>
      </c>
      <c r="C34" s="212">
        <v>0.9</v>
      </c>
      <c r="D34" s="27">
        <v>17</v>
      </c>
      <c r="E34" s="27">
        <v>10</v>
      </c>
    </row>
    <row r="38" spans="1:5" ht="41.45" customHeight="1" x14ac:dyDescent="0.25"/>
    <row r="93" ht="14.45" customHeight="1" x14ac:dyDescent="0.25"/>
    <row r="105" spans="1:19" s="86" customFormat="1" x14ac:dyDescent="0.25">
      <c r="A105"/>
      <c r="B105" s="37"/>
      <c r="C105" s="37"/>
      <c r="D105" s="37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</sheetData>
  <mergeCells count="1">
    <mergeCell ref="G1:M1"/>
  </mergeCells>
  <pageMargins left="0.25" right="0.25" top="0.75" bottom="0.75" header="0.3" footer="0.3"/>
  <pageSetup paperSize="3" orientation="landscape" r:id="rId1"/>
  <rowBreaks count="1" manualBreakCount="1">
    <brk id="1" max="13" man="1"/>
  </rowBreaks>
  <colBreaks count="2" manualBreakCount="2">
    <brk id="2" max="1048575" man="1"/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8</vt:i4>
      </vt:variant>
    </vt:vector>
  </HeadingPairs>
  <TitlesOfParts>
    <vt:vector size="23" baseType="lpstr">
      <vt:lpstr>Curb Appeal III &amp; IV</vt:lpstr>
      <vt:lpstr>Survey Projects</vt:lpstr>
      <vt:lpstr>Survey Work Orders</vt:lpstr>
      <vt:lpstr>Custodial</vt:lpstr>
      <vt:lpstr>Engineering</vt:lpstr>
      <vt:lpstr>Grounds</vt:lpstr>
      <vt:lpstr>Trades</vt:lpstr>
      <vt:lpstr>PM3</vt:lpstr>
      <vt:lpstr>D&amp;CS P&amp;E</vt:lpstr>
      <vt:lpstr>D&amp;CS Admin</vt:lpstr>
      <vt:lpstr>Business Services</vt:lpstr>
      <vt:lpstr>FY16 Utilities</vt:lpstr>
      <vt:lpstr>Degree Day Graphs</vt:lpstr>
      <vt:lpstr>FY15 Utilities</vt:lpstr>
      <vt:lpstr>FY14 Utilities</vt:lpstr>
      <vt:lpstr>Custodial!Print_Area</vt:lpstr>
      <vt:lpstr>'D&amp;CS P&amp;E'!Print_Area</vt:lpstr>
      <vt:lpstr>'Degree Day Graphs'!Print_Area</vt:lpstr>
      <vt:lpstr>'FY14 Utilities'!Print_Area</vt:lpstr>
      <vt:lpstr>'FY15 Utilities'!Print_Area</vt:lpstr>
      <vt:lpstr>'FY16 Utilities'!Print_Area</vt:lpstr>
      <vt:lpstr>'Survey Work Orders'!Print_Area</vt:lpstr>
      <vt:lpstr>Trades!Print_Area</vt:lpstr>
    </vt:vector>
  </TitlesOfParts>
  <Company>Wayne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Kisner</dc:creator>
  <cp:lastModifiedBy>Cassandra Marie Lee</cp:lastModifiedBy>
  <cp:lastPrinted>2016-08-11T17:28:08Z</cp:lastPrinted>
  <dcterms:created xsi:type="dcterms:W3CDTF">2012-02-03T20:59:18Z</dcterms:created>
  <dcterms:modified xsi:type="dcterms:W3CDTF">2016-09-07T20:57:38Z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