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FPM Business Services\Director\files for a.strickland\Angela\FY2015-2016 Budget Performance\"/>
    </mc:Choice>
  </mc:AlternateContent>
  <bookViews>
    <workbookView xWindow="0" yWindow="0" windowWidth="23040" windowHeight="9396"/>
  </bookViews>
  <sheets>
    <sheet name="Q4 Projections" sheetId="1" r:id="rId1"/>
    <sheet name="Sheet1" sheetId="2" r:id="rId2"/>
  </sheets>
  <externalReferences>
    <externalReference r:id="rId3"/>
    <externalReference r:id="rId4"/>
  </externalReferences>
  <definedNames>
    <definedName name="Excel_BuiltIn_Print_Area" localSheetId="0">#REF!</definedName>
    <definedName name="Excel_BuiltIn_Print_Area">#REF!</definedName>
    <definedName name="Excel_BuiltIn_Print_Area_1" localSheetId="0">[1]P_L!#REF!</definedName>
    <definedName name="Excel_BuiltIn_Print_Area_1">[1]P_L!#REF!</definedName>
    <definedName name="Excel_BuiltIn_Print_Titles" localSheetId="0">#REF!</definedName>
    <definedName name="Excel_BuiltIn_Print_Titles">#REF!</definedName>
    <definedName name="Grossmont" localSheetId="0">#REF!</definedName>
    <definedName name="Grossmont">#REF!</definedName>
    <definedName name="Parking" localSheetId="0">[1]P_L!#REF!</definedName>
    <definedName name="Parking">[1]P_L!#REF!</definedName>
    <definedName name="_xlnm.Print_Area" localSheetId="0">'Q4 Projections'!$A$1:$Q$46</definedName>
    <definedName name="Print_Area_MI" localSheetId="0">#REF!</definedName>
    <definedName name="Print_Area_MI">#REF!</definedName>
    <definedName name="PRINT_TITLES_MI" localSheetId="0">#REF!</definedName>
    <definedName name="PRINT_TITLES_MI">#REF!</definedName>
    <definedName name="TableName">"Dummy"</definedName>
  </definedNames>
  <calcPr calcId="152511"/>
</workbook>
</file>

<file path=xl/calcChain.xml><?xml version="1.0" encoding="utf-8"?>
<calcChain xmlns="http://schemas.openxmlformats.org/spreadsheetml/2006/main">
  <c r="M36" i="1" l="1"/>
  <c r="K35" i="1"/>
  <c r="I35" i="1"/>
  <c r="I27" i="1"/>
  <c r="I18" i="1"/>
  <c r="I19" i="1"/>
  <c r="M19" i="1" s="1"/>
  <c r="M20" i="1"/>
  <c r="M18" i="1"/>
  <c r="N39" i="1" l="1"/>
  <c r="C38" i="2" l="1"/>
  <c r="D36" i="2" l="1"/>
  <c r="E41" i="2"/>
  <c r="E38" i="2"/>
  <c r="E37" i="2"/>
  <c r="E36" i="2"/>
  <c r="E35" i="2"/>
  <c r="E34" i="2"/>
  <c r="E33" i="2"/>
  <c r="E30" i="2"/>
  <c r="E28" i="2"/>
  <c r="E27" i="2"/>
  <c r="E21" i="2"/>
  <c r="E20" i="2"/>
  <c r="E19" i="2"/>
  <c r="E18" i="2"/>
  <c r="D41" i="2"/>
  <c r="D38" i="2"/>
  <c r="D37" i="2"/>
  <c r="D35" i="2"/>
  <c r="D34" i="2"/>
  <c r="D33" i="2"/>
  <c r="D32" i="2"/>
  <c r="D30" i="2"/>
  <c r="D28" i="2"/>
  <c r="D27" i="2"/>
  <c r="D21" i="2"/>
  <c r="D20" i="2"/>
  <c r="D19" i="2"/>
  <c r="D18" i="2"/>
  <c r="C37" i="2"/>
  <c r="C35" i="2"/>
  <c r="C18" i="2"/>
  <c r="C21" i="2" s="1"/>
  <c r="C14" i="2"/>
  <c r="B35" i="2"/>
  <c r="B37" i="2" s="1"/>
  <c r="B18" i="2"/>
  <c r="B21" i="2" s="1"/>
  <c r="B38" i="2" s="1"/>
  <c r="B14" i="2"/>
  <c r="C41" i="2" l="1"/>
  <c r="B41" i="2"/>
  <c r="G41" i="1" l="1"/>
  <c r="P40" i="1"/>
  <c r="P39" i="1"/>
  <c r="G18" i="1" l="1"/>
  <c r="G35" i="1" l="1"/>
  <c r="N13" i="1" l="1"/>
  <c r="N28" i="1" l="1"/>
  <c r="N29" i="1"/>
  <c r="P29" i="1" s="1"/>
  <c r="N31" i="1"/>
  <c r="P31" i="1" s="1"/>
  <c r="N36" i="1"/>
  <c r="P36" i="1" s="1"/>
  <c r="F21" i="1"/>
  <c r="N40" i="1"/>
  <c r="C36" i="1"/>
  <c r="N35" i="1"/>
  <c r="P35" i="1" s="1"/>
  <c r="C35" i="1"/>
  <c r="C34" i="1"/>
  <c r="C33" i="1"/>
  <c r="C32" i="1"/>
  <c r="C30" i="1"/>
  <c r="C28" i="1"/>
  <c r="C27" i="1"/>
  <c r="N26" i="1"/>
  <c r="P26" i="1" s="1"/>
  <c r="C26" i="1"/>
  <c r="N25" i="1"/>
  <c r="P25" i="1" s="1"/>
  <c r="C25" i="1"/>
  <c r="N19" i="1"/>
  <c r="C18" i="1"/>
  <c r="C21" i="1" s="1"/>
  <c r="M14" i="1"/>
  <c r="I14" i="1"/>
  <c r="G14" i="1"/>
  <c r="F14" i="1"/>
  <c r="K14" i="1"/>
  <c r="C13" i="1"/>
  <c r="C14" i="1" s="1"/>
  <c r="G21" i="1" l="1"/>
  <c r="N32" i="1"/>
  <c r="P32" i="1" s="1"/>
  <c r="N33" i="1"/>
  <c r="P33" i="1" s="1"/>
  <c r="K37" i="1"/>
  <c r="K21" i="1"/>
  <c r="M21" i="1"/>
  <c r="N20" i="1"/>
  <c r="P20" i="1" s="1"/>
  <c r="C37" i="1"/>
  <c r="C38" i="1" s="1"/>
  <c r="C41" i="1" s="1"/>
  <c r="G37" i="1"/>
  <c r="I37" i="1"/>
  <c r="N27" i="1"/>
  <c r="P27" i="1" s="1"/>
  <c r="N34" i="1"/>
  <c r="P34" i="1" s="1"/>
  <c r="N30" i="1"/>
  <c r="P30" i="1" s="1"/>
  <c r="F37" i="1"/>
  <c r="F38" i="1" s="1"/>
  <c r="F41" i="1" s="1"/>
  <c r="P28" i="1"/>
  <c r="P19" i="1"/>
  <c r="N14" i="1"/>
  <c r="N24" i="1"/>
  <c r="P24" i="1" s="1"/>
  <c r="G38" i="1" l="1"/>
  <c r="K38" i="1"/>
  <c r="K41" i="1" s="1"/>
  <c r="M37" i="1"/>
  <c r="M38" i="1" s="1"/>
  <c r="M41" i="1" s="1"/>
  <c r="N37" i="1"/>
  <c r="P13" i="1"/>
  <c r="P14" i="1" s="1"/>
  <c r="I21" i="1"/>
  <c r="I38" i="1" s="1"/>
  <c r="I41" i="1" s="1"/>
  <c r="N18" i="1"/>
  <c r="P37" i="1" l="1"/>
  <c r="N41" i="1"/>
  <c r="P41" i="1" s="1"/>
  <c r="N21" i="1"/>
  <c r="P18" i="1"/>
  <c r="P21" i="1" s="1"/>
  <c r="N38" i="1" l="1"/>
  <c r="P38" i="1" s="1"/>
  <c r="R36" i="1"/>
  <c r="P42" i="1"/>
</calcChain>
</file>

<file path=xl/sharedStrings.xml><?xml version="1.0" encoding="utf-8"?>
<sst xmlns="http://schemas.openxmlformats.org/spreadsheetml/2006/main" count="72" uniqueCount="45">
  <si>
    <t>FY 2011 Actual Activity</t>
  </si>
  <si>
    <t>REVENUES</t>
  </si>
  <si>
    <t xml:space="preserve">   Other Income</t>
  </si>
  <si>
    <t>TOTAL REVENUES</t>
  </si>
  <si>
    <t>EXPENDITURES</t>
  </si>
  <si>
    <t>Compensation</t>
  </si>
  <si>
    <t>Salaries and Wages</t>
  </si>
  <si>
    <t>Overtime</t>
  </si>
  <si>
    <t>Fringe Benefits</t>
  </si>
  <si>
    <t>Subtotal Compensation</t>
  </si>
  <si>
    <t>General Expense</t>
  </si>
  <si>
    <t>Equipment Purchases</t>
  </si>
  <si>
    <t>Computer Supplies and Software</t>
  </si>
  <si>
    <t xml:space="preserve">Supplies </t>
  </si>
  <si>
    <t>Facilities Costs</t>
  </si>
  <si>
    <t>Utilities</t>
  </si>
  <si>
    <t>Services, Contracts &amp; Fees</t>
  </si>
  <si>
    <t>Scholarships and Fellowships</t>
  </si>
  <si>
    <t>Professional Development</t>
  </si>
  <si>
    <t>Travel and Moving Expenses</t>
  </si>
  <si>
    <t>Printing and Communication</t>
  </si>
  <si>
    <t>Other Expense</t>
  </si>
  <si>
    <t>Internal  Transfers</t>
  </si>
  <si>
    <t>Subtotal General Expenses</t>
  </si>
  <si>
    <t>TOTAL EXPENDITURES</t>
  </si>
  <si>
    <t>Transfers</t>
  </si>
  <si>
    <t>NET EXPENDITURES</t>
  </si>
  <si>
    <t>Projected % of Budget Remaining</t>
  </si>
  <si>
    <t>Footnote Explanations:</t>
  </si>
  <si>
    <t>Finance and Business Operations</t>
  </si>
  <si>
    <t>FY 2016 Approved Budget</t>
  </si>
  <si>
    <t>FY 2016 Revised Budget</t>
  </si>
  <si>
    <t>Additional Projections as of 9/30/16</t>
  </si>
  <si>
    <t>FISCAL 2016 PROJECTIONS</t>
  </si>
  <si>
    <t>FY16 Projected Balance</t>
  </si>
  <si>
    <t xml:space="preserve">  Encumbrances added back</t>
  </si>
  <si>
    <t xml:space="preserve">Unit: Facilities Planning &amp; Management Fund 113051 Reimbursable </t>
  </si>
  <si>
    <t>YTD 05/31/16 Actual</t>
  </si>
  <si>
    <t>YTD 04/30/16 Actual</t>
  </si>
  <si>
    <t>Variances</t>
  </si>
  <si>
    <t>Fiscal Year 2016 Projections as of 07/31/2016</t>
  </si>
  <si>
    <t>Design and Construction Services has been advised to liquidate any vendors in which they are not currently using and to review the PO's to determine whether balances should be reduced to accommodate balance needed to cover expenses through end of year.</t>
  </si>
  <si>
    <t>YTD 08/31/16 Actual</t>
  </si>
  <si>
    <t>Commitments @ 08/31/16</t>
  </si>
  <si>
    <t>Add back encumbrances not spent.  Leaves balance of $76192.  Billing is one pay period behind month end is included in projections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</si>
</sst>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5" formatCode="&quot;$&quot;#,##0_);\(&quot;$&quot;#,##0\)"/>
    <numFmt numFmtId="6" formatCode="&quot;$&quot;#,##0_);[Red]\(&quot;$&quot;#,##0\)"/>
    <numFmt numFmtId="7" formatCode="&quot;$&quot;#,##0.00_);\(&quot;$&quot;#,##0.00\)"/>
    <numFmt numFmtId="44" formatCode="_(&quot;$&quot;* #,##0.00_);_(&quot;$&quot;* \(#,##0.00\);_(&quot;$&quot;* &quot;-&quot;??_);_(@_)"/>
    <numFmt numFmtId="43" formatCode="_(* #,##0.00_);_(* \(#,##0.00\);_(* &quot;-&quot;??_);_(@_)"/>
    <numFmt numFmtId="164" formatCode="&quot;$&quot;#,##0"/>
    <numFmt numFmtId="165" formatCode="&quot;$&quot;#,##0.0_);\(&quot;$&quot;#,##0.0\)"/>
    <numFmt numFmtId="166" formatCode="#,##0.0_);\(#,##0.0\)"/>
    <numFmt numFmtId="167" formatCode="#,##0.000000000000_);\(#,##0.000000000000\)"/>
  </numFmts>
  <fonts count="33">
    <font>
      <sz val="10"/>
      <color theme="1"/>
      <name val="Tahoma"/>
      <family val="2"/>
    </font>
    <font>
      <sz val="11"/>
      <color theme="1"/>
      <name val="Calibri"/>
      <family val="2"/>
      <scheme val="minor"/>
    </font>
    <font>
      <sz val="11"/>
      <color theme="1"/>
      <name val="Calibri"/>
      <family val="2"/>
      <scheme val="minor"/>
    </font>
    <font>
      <sz val="10"/>
      <name val="Arial"/>
      <family val="2"/>
    </font>
    <font>
      <sz val="11"/>
      <name val="Bookman Old Style"/>
      <family val="1"/>
    </font>
    <font>
      <b/>
      <sz val="11"/>
      <color theme="1"/>
      <name val="Bookman Old Style"/>
      <family val="1"/>
    </font>
    <font>
      <sz val="10"/>
      <color theme="1"/>
      <name val="Tahoma"/>
      <family val="2"/>
    </font>
    <font>
      <b/>
      <sz val="11"/>
      <name val="Bookman Old Style"/>
      <family val="1"/>
    </font>
    <font>
      <sz val="10"/>
      <color theme="1"/>
      <name val="Arial"/>
      <family val="2"/>
    </font>
    <font>
      <b/>
      <sz val="20"/>
      <name val="Bookman Old Style"/>
      <family val="1"/>
    </font>
    <font>
      <b/>
      <sz val="16"/>
      <color theme="1"/>
      <name val="Andale WT"/>
      <family val="2"/>
    </font>
    <font>
      <b/>
      <i/>
      <sz val="14"/>
      <color theme="1"/>
      <name val="Andale WT"/>
    </font>
    <font>
      <b/>
      <sz val="11"/>
      <color rgb="FFFF0000"/>
      <name val="Bookman Old Style"/>
      <family val="1"/>
    </font>
    <font>
      <sz val="12"/>
      <name val="Bookman Old Style"/>
      <family val="1"/>
    </font>
    <font>
      <sz val="12"/>
      <color theme="1"/>
      <name val="Tahoma"/>
      <family val="2"/>
    </font>
    <font>
      <b/>
      <sz val="12"/>
      <name val="Bookman Old Style"/>
      <family val="1"/>
    </font>
    <font>
      <sz val="11"/>
      <color theme="1"/>
      <name val="Bookman Old Style"/>
      <family val="1"/>
    </font>
    <font>
      <b/>
      <sz val="14"/>
      <name val="Bookman Old Style"/>
      <family val="1"/>
    </font>
    <font>
      <sz val="12"/>
      <color indexed="8"/>
      <name val="Bookman Old Style"/>
      <family val="1"/>
    </font>
    <font>
      <sz val="11"/>
      <color indexed="8"/>
      <name val="Bookman Old Style"/>
      <family val="1"/>
    </font>
    <font>
      <b/>
      <sz val="11"/>
      <color indexed="8"/>
      <name val="Bookman Old Style"/>
      <family val="1"/>
    </font>
    <font>
      <b/>
      <sz val="12"/>
      <color rgb="FFFF0000"/>
      <name val="Bookman Old Style"/>
      <family val="1"/>
    </font>
    <font>
      <sz val="12"/>
      <color rgb="FFFF0000"/>
      <name val="Bookman Old Style"/>
      <family val="1"/>
    </font>
    <font>
      <sz val="10"/>
      <color rgb="FFFF0000"/>
      <name val="Arial"/>
      <family val="2"/>
    </font>
    <font>
      <sz val="12"/>
      <color theme="1"/>
      <name val="Bookman Old Style"/>
      <family val="1"/>
    </font>
    <font>
      <b/>
      <sz val="12"/>
      <color indexed="8"/>
      <name val="Bookman Old Style"/>
      <family val="1"/>
    </font>
    <font>
      <sz val="12"/>
      <color theme="1"/>
      <name val="Times New Roman"/>
      <family val="1"/>
    </font>
    <font>
      <sz val="12"/>
      <color theme="1"/>
      <name val="Arial"/>
      <family val="2"/>
    </font>
    <font>
      <b/>
      <sz val="12"/>
      <color theme="1"/>
      <name val="Times New Roman"/>
      <family val="1"/>
    </font>
    <font>
      <sz val="9"/>
      <color theme="1"/>
      <name val="Arial"/>
      <family val="2"/>
    </font>
    <font>
      <sz val="11"/>
      <color indexed="8"/>
      <name val="Calibri"/>
      <family val="2"/>
    </font>
    <font>
      <sz val="10"/>
      <color theme="1"/>
      <name val="Arial Narrow"/>
      <family val="2"/>
    </font>
    <font>
      <sz val="12"/>
      <color rgb="FF7030A0"/>
      <name val="Bookman Old Style"/>
      <family val="1"/>
    </font>
  </fonts>
  <fills count="8">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
      <patternFill patternType="solid">
        <fgColor theme="9" tint="0.39997558519241921"/>
        <bgColor indexed="64"/>
      </patternFill>
    </fill>
  </fills>
  <borders count="20">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right/>
      <top/>
      <bottom style="thin">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double">
        <color indexed="64"/>
      </bottom>
      <diagonal/>
    </border>
    <border>
      <left style="thin">
        <color indexed="64"/>
      </left>
      <right/>
      <top style="thin">
        <color indexed="64"/>
      </top>
      <bottom style="thin">
        <color indexed="64"/>
      </bottom>
      <diagonal/>
    </border>
  </borders>
  <cellStyleXfs count="130">
    <xf numFmtId="0" fontId="0" fillId="0" borderId="0"/>
    <xf numFmtId="44" fontId="6" fillId="0" borderId="0" applyFont="0" applyFill="0" applyBorder="0" applyAlignment="0" applyProtection="0"/>
    <xf numFmtId="9" fontId="6" fillId="0" borderId="0" applyFont="0" applyFill="0" applyBorder="0" applyAlignment="0" applyProtection="0"/>
    <xf numFmtId="0" fontId="3" fillId="0" borderId="0"/>
    <xf numFmtId="0" fontId="2" fillId="0" borderId="0"/>
    <xf numFmtId="0" fontId="8" fillId="0" borderId="0"/>
    <xf numFmtId="0" fontId="3" fillId="0" borderId="0"/>
    <xf numFmtId="43"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0" fillId="0" borderId="0" applyFont="0" applyFill="0" applyBorder="0" applyAlignment="0" applyProtection="0"/>
    <xf numFmtId="43" fontId="6"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0" fillId="0" borderId="0" applyFont="0" applyFill="0" applyBorder="0" applyAlignment="0" applyProtection="0"/>
    <xf numFmtId="44" fontId="3"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6" fillId="0" borderId="0" applyFont="0" applyFill="0" applyBorder="0" applyAlignment="0" applyProtection="0"/>
    <xf numFmtId="44" fontId="30" fillId="0" borderId="0" applyFont="0" applyFill="0" applyBorder="0" applyAlignment="0" applyProtection="0"/>
    <xf numFmtId="44" fontId="30" fillId="0" borderId="0" applyFont="0" applyFill="0" applyBorder="0" applyAlignment="0" applyProtection="0"/>
    <xf numFmtId="44" fontId="30" fillId="0" borderId="0" applyFont="0" applyFill="0" applyBorder="0" applyAlignment="0" applyProtection="0"/>
    <xf numFmtId="44" fontId="30" fillId="0" borderId="0" applyFont="0" applyFill="0" applyBorder="0" applyAlignment="0" applyProtection="0"/>
    <xf numFmtId="0" fontId="6" fillId="0" borderId="0"/>
    <xf numFmtId="0" fontId="31" fillId="0" borderId="0"/>
    <xf numFmtId="0" fontId="6" fillId="0" borderId="0"/>
    <xf numFmtId="0" fontId="3" fillId="0" borderId="0"/>
    <xf numFmtId="0" fontId="3" fillId="0" borderId="0"/>
    <xf numFmtId="0" fontId="3" fillId="0" borderId="0"/>
    <xf numFmtId="0" fontId="3"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1" fillId="0" borderId="0"/>
    <xf numFmtId="0" fontId="3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0" fillId="0" borderId="0" applyFont="0" applyFill="0" applyBorder="0" applyAlignment="0" applyProtection="0"/>
    <xf numFmtId="9" fontId="3" fillId="0" borderId="0" applyFont="0" applyFill="0" applyBorder="0" applyAlignment="0" applyProtection="0"/>
    <xf numFmtId="9" fontId="6" fillId="0" borderId="0" applyFont="0" applyFill="0" applyBorder="0" applyAlignment="0" applyProtection="0"/>
    <xf numFmtId="9" fontId="3" fillId="0" borderId="0" applyFill="0" applyBorder="0" applyAlignment="0" applyProtection="0"/>
    <xf numFmtId="9" fontId="3" fillId="0" borderId="0" applyFill="0" applyBorder="0" applyAlignment="0" applyProtection="0"/>
    <xf numFmtId="5" fontId="4" fillId="0" borderId="0"/>
  </cellStyleXfs>
  <cellXfs count="195">
    <xf numFmtId="0" fontId="0" fillId="0" borderId="0" xfId="0"/>
    <xf numFmtId="0" fontId="4" fillId="0" borderId="0" xfId="3" applyFont="1" applyFill="1" applyBorder="1" applyAlignment="1">
      <alignment horizontal="centerContinuous"/>
    </xf>
    <xf numFmtId="0" fontId="5" fillId="0" borderId="0" xfId="4" applyFont="1" applyFill="1" applyBorder="1"/>
    <xf numFmtId="164" fontId="4" fillId="0" borderId="0" xfId="1" applyNumberFormat="1" applyFont="1" applyFill="1" applyBorder="1" applyAlignment="1">
      <alignment horizontal="centerContinuous"/>
    </xf>
    <xf numFmtId="0" fontId="4" fillId="0" borderId="0" xfId="3" applyFont="1" applyFill="1" applyBorder="1" applyAlignment="1"/>
    <xf numFmtId="0" fontId="7" fillId="0" borderId="0" xfId="3" applyFont="1" applyFill="1" applyBorder="1" applyAlignment="1"/>
    <xf numFmtId="0" fontId="8" fillId="0" borderId="0" xfId="5" applyFont="1" applyFill="1"/>
    <xf numFmtId="0" fontId="0" fillId="0" borderId="0" xfId="0" applyBorder="1" applyAlignment="1"/>
    <xf numFmtId="0" fontId="7" fillId="0" borderId="0" xfId="3" applyFont="1" applyFill="1" applyBorder="1" applyAlignment="1">
      <alignment horizontal="center" wrapText="1"/>
    </xf>
    <xf numFmtId="0" fontId="4" fillId="0" borderId="0" xfId="3" applyFont="1" applyFill="1" applyBorder="1"/>
    <xf numFmtId="0" fontId="7" fillId="0" borderId="0" xfId="3" applyFont="1" applyFill="1" applyBorder="1" applyAlignment="1">
      <alignment wrapText="1"/>
    </xf>
    <xf numFmtId="164" fontId="7" fillId="0" borderId="4" xfId="1" applyNumberFormat="1" applyFont="1" applyFill="1" applyBorder="1" applyAlignment="1">
      <alignment wrapText="1"/>
    </xf>
    <xf numFmtId="0" fontId="7" fillId="2" borderId="4" xfId="3" applyFont="1" applyFill="1" applyBorder="1" applyAlignment="1">
      <alignment wrapText="1"/>
    </xf>
    <xf numFmtId="0" fontId="7" fillId="0" borderId="5" xfId="3" applyFont="1" applyFill="1" applyBorder="1" applyAlignment="1">
      <alignment wrapText="1"/>
    </xf>
    <xf numFmtId="0" fontId="7" fillId="0" borderId="4" xfId="3" applyFont="1" applyFill="1" applyBorder="1" applyAlignment="1">
      <alignment wrapText="1"/>
    </xf>
    <xf numFmtId="0" fontId="7" fillId="3" borderId="4" xfId="3" applyFont="1" applyFill="1" applyBorder="1" applyAlignment="1">
      <alignment wrapText="1"/>
    </xf>
    <xf numFmtId="0" fontId="7" fillId="4" borderId="4" xfId="3" applyFont="1" applyFill="1" applyBorder="1" applyAlignment="1">
      <alignment wrapText="1"/>
    </xf>
    <xf numFmtId="165" fontId="4" fillId="0" borderId="0" xfId="3" applyNumberFormat="1" applyFont="1" applyFill="1" applyBorder="1"/>
    <xf numFmtId="0" fontId="7" fillId="0" borderId="0" xfId="3" applyFont="1" applyFill="1" applyBorder="1"/>
    <xf numFmtId="165" fontId="4" fillId="0" borderId="0" xfId="3" applyNumberFormat="1" applyFont="1" applyFill="1" applyBorder="1" applyAlignment="1"/>
    <xf numFmtId="164" fontId="4" fillId="0" borderId="4" xfId="1" applyNumberFormat="1" applyFont="1" applyFill="1" applyBorder="1" applyAlignment="1"/>
    <xf numFmtId="165" fontId="4" fillId="2" borderId="4" xfId="3" applyNumberFormat="1" applyFont="1" applyFill="1" applyBorder="1" applyAlignment="1"/>
    <xf numFmtId="165" fontId="4" fillId="0" borderId="5" xfId="3" applyNumberFormat="1" applyFont="1" applyFill="1" applyBorder="1" applyAlignment="1"/>
    <xf numFmtId="165" fontId="4" fillId="0" borderId="4" xfId="3" applyNumberFormat="1" applyFont="1" applyFill="1" applyBorder="1" applyAlignment="1"/>
    <xf numFmtId="5" fontId="4" fillId="3" borderId="4" xfId="3" applyNumberFormat="1" applyFont="1" applyFill="1" applyBorder="1" applyAlignment="1"/>
    <xf numFmtId="165" fontId="4" fillId="4" borderId="4" xfId="3" applyNumberFormat="1" applyFont="1" applyFill="1" applyBorder="1" applyAlignment="1"/>
    <xf numFmtId="166" fontId="4" fillId="0" borderId="0" xfId="3" applyNumberFormat="1" applyFont="1" applyFill="1" applyBorder="1"/>
    <xf numFmtId="5" fontId="4" fillId="0" borderId="0" xfId="3" applyNumberFormat="1" applyFont="1" applyFill="1" applyBorder="1" applyAlignment="1"/>
    <xf numFmtId="5" fontId="4" fillId="0" borderId="0" xfId="3" applyNumberFormat="1" applyFont="1" applyFill="1" applyBorder="1"/>
    <xf numFmtId="5" fontId="4" fillId="0" borderId="4" xfId="3" applyNumberFormat="1" applyFont="1" applyFill="1" applyBorder="1" applyAlignment="1"/>
    <xf numFmtId="5" fontId="4" fillId="2" borderId="4" xfId="3" applyNumberFormat="1" applyFont="1" applyFill="1" applyBorder="1" applyAlignment="1"/>
    <xf numFmtId="5" fontId="0" fillId="0" borderId="0" xfId="0" applyNumberFormat="1"/>
    <xf numFmtId="5" fontId="7" fillId="3" borderId="4" xfId="3" applyNumberFormat="1" applyFont="1" applyFill="1" applyBorder="1" applyAlignment="1"/>
    <xf numFmtId="5" fontId="4" fillId="4" borderId="4" xfId="3" applyNumberFormat="1" applyFont="1" applyFill="1" applyBorder="1" applyAlignment="1"/>
    <xf numFmtId="165" fontId="7" fillId="0" borderId="0" xfId="3" applyNumberFormat="1" applyFont="1" applyFill="1" applyBorder="1" applyAlignment="1"/>
    <xf numFmtId="166" fontId="7" fillId="0" borderId="0" xfId="3" applyNumberFormat="1" applyFont="1" applyFill="1" applyBorder="1" applyAlignment="1">
      <alignment horizontal="left" indent="2"/>
    </xf>
    <xf numFmtId="5" fontId="7" fillId="0" borderId="10" xfId="3" applyNumberFormat="1" applyFont="1" applyFill="1" applyBorder="1" applyAlignment="1"/>
    <xf numFmtId="5" fontId="7" fillId="0" borderId="0" xfId="3" applyNumberFormat="1" applyFont="1" applyFill="1" applyBorder="1" applyAlignment="1"/>
    <xf numFmtId="37" fontId="7" fillId="0" borderId="11" xfId="1" applyNumberFormat="1" applyFont="1" applyFill="1" applyBorder="1" applyAlignment="1"/>
    <xf numFmtId="37" fontId="7" fillId="2" borderId="11" xfId="1" applyNumberFormat="1" applyFont="1" applyFill="1" applyBorder="1" applyAlignment="1"/>
    <xf numFmtId="37" fontId="0" fillId="0" borderId="0" xfId="0" applyNumberFormat="1"/>
    <xf numFmtId="37" fontId="7" fillId="0" borderId="10" xfId="3" applyNumberFormat="1" applyFont="1" applyFill="1" applyBorder="1" applyAlignment="1"/>
    <xf numFmtId="37" fontId="7" fillId="3" borderId="11" xfId="3" applyNumberFormat="1" applyFont="1" applyFill="1" applyBorder="1" applyAlignment="1"/>
    <xf numFmtId="37" fontId="7" fillId="4" borderId="11" xfId="3" applyNumberFormat="1" applyFont="1" applyFill="1" applyBorder="1" applyAlignment="1"/>
    <xf numFmtId="37" fontId="4" fillId="0" borderId="4" xfId="1" applyNumberFormat="1" applyFont="1" applyFill="1" applyBorder="1" applyAlignment="1"/>
    <xf numFmtId="37" fontId="4" fillId="2" borderId="4" xfId="1" applyNumberFormat="1" applyFont="1" applyFill="1" applyBorder="1" applyAlignment="1"/>
    <xf numFmtId="37" fontId="4" fillId="0" borderId="0" xfId="3" applyNumberFormat="1" applyFont="1" applyFill="1" applyBorder="1" applyAlignment="1"/>
    <xf numFmtId="37" fontId="7" fillId="3" borderId="4" xfId="3" applyNumberFormat="1" applyFont="1" applyFill="1" applyBorder="1" applyAlignment="1"/>
    <xf numFmtId="37" fontId="4" fillId="4" borderId="4" xfId="3" applyNumberFormat="1" applyFont="1" applyFill="1" applyBorder="1" applyAlignment="1"/>
    <xf numFmtId="166" fontId="7" fillId="0" borderId="0" xfId="3" applyNumberFormat="1" applyFont="1" applyFill="1" applyBorder="1"/>
    <xf numFmtId="43" fontId="8" fillId="0" borderId="0" xfId="5" applyNumberFormat="1" applyFont="1" applyFill="1"/>
    <xf numFmtId="166" fontId="7" fillId="0" borderId="0" xfId="3" applyNumberFormat="1" applyFont="1" applyFill="1" applyBorder="1" applyAlignment="1">
      <alignment horizontal="left" indent="1"/>
    </xf>
    <xf numFmtId="166" fontId="4" fillId="0" borderId="0" xfId="3" applyNumberFormat="1" applyFont="1" applyFill="1" applyBorder="1" applyAlignment="1">
      <alignment horizontal="left" indent="3"/>
    </xf>
    <xf numFmtId="37" fontId="4" fillId="0" borderId="4" xfId="3" applyNumberFormat="1" applyFont="1" applyFill="1" applyBorder="1" applyAlignment="1"/>
    <xf numFmtId="37" fontId="4" fillId="2" borderId="4" xfId="3" applyNumberFormat="1" applyFont="1" applyFill="1" applyBorder="1" applyAlignment="1"/>
    <xf numFmtId="37" fontId="7" fillId="4" borderId="4" xfId="3" applyNumberFormat="1" applyFont="1" applyFill="1" applyBorder="1" applyAlignment="1"/>
    <xf numFmtId="5" fontId="12" fillId="0" borderId="0" xfId="3" applyNumberFormat="1" applyFont="1" applyFill="1" applyBorder="1" applyAlignment="1"/>
    <xf numFmtId="5" fontId="8" fillId="0" borderId="0" xfId="5" applyNumberFormat="1" applyFont="1" applyFill="1"/>
    <xf numFmtId="37" fontId="13" fillId="0" borderId="11" xfId="1" applyNumberFormat="1" applyFont="1" applyFill="1" applyBorder="1" applyAlignment="1"/>
    <xf numFmtId="37" fontId="13" fillId="2" borderId="11" xfId="1" applyNumberFormat="1" applyFont="1" applyFill="1" applyBorder="1" applyAlignment="1"/>
    <xf numFmtId="37" fontId="14" fillId="0" borderId="0" xfId="0" applyNumberFormat="1" applyFont="1"/>
    <xf numFmtId="37" fontId="13" fillId="0" borderId="10" xfId="3" applyNumberFormat="1" applyFont="1" applyFill="1" applyBorder="1" applyAlignment="1"/>
    <xf numFmtId="37" fontId="15" fillId="3" borderId="11" xfId="3" applyNumberFormat="1" applyFont="1" applyFill="1" applyBorder="1" applyAlignment="1"/>
    <xf numFmtId="37" fontId="15" fillId="4" borderId="11" xfId="3" applyNumberFormat="1" applyFont="1" applyFill="1" applyBorder="1" applyAlignment="1"/>
    <xf numFmtId="37" fontId="4" fillId="0" borderId="12" xfId="1" applyNumberFormat="1" applyFont="1" applyFill="1" applyBorder="1" applyAlignment="1"/>
    <xf numFmtId="37" fontId="4" fillId="2" borderId="12" xfId="1" applyNumberFormat="1" applyFont="1" applyFill="1" applyBorder="1" applyAlignment="1"/>
    <xf numFmtId="37" fontId="4" fillId="0" borderId="6" xfId="3" applyNumberFormat="1" applyFont="1" applyFill="1" applyBorder="1" applyAlignment="1"/>
    <xf numFmtId="37" fontId="7" fillId="3" borderId="12" xfId="3" applyNumberFormat="1" applyFont="1" applyFill="1" applyBorder="1" applyAlignment="1"/>
    <xf numFmtId="37" fontId="7" fillId="4" borderId="12" xfId="3" applyNumberFormat="1" applyFont="1" applyFill="1" applyBorder="1" applyAlignment="1"/>
    <xf numFmtId="166" fontId="4" fillId="0" borderId="0" xfId="3" applyNumberFormat="1" applyFont="1" applyFill="1" applyBorder="1" applyAlignment="1">
      <alignment horizontal="left" indent="2"/>
    </xf>
    <xf numFmtId="5" fontId="16" fillId="0" borderId="0" xfId="1" applyNumberFormat="1" applyFont="1" applyFill="1"/>
    <xf numFmtId="166" fontId="4" fillId="0" borderId="0" xfId="6" applyNumberFormat="1" applyFont="1" applyFill="1" applyBorder="1" applyAlignment="1">
      <alignment horizontal="left" indent="2"/>
    </xf>
    <xf numFmtId="5" fontId="4" fillId="0" borderId="0" xfId="3" applyNumberFormat="1" applyFont="1" applyFill="1" applyBorder="1" applyAlignment="1">
      <alignment readingOrder="1"/>
    </xf>
    <xf numFmtId="43" fontId="8" fillId="0" borderId="0" xfId="5" applyNumberFormat="1" applyFont="1" applyFill="1" applyBorder="1"/>
    <xf numFmtId="0" fontId="16" fillId="0" borderId="0" xfId="5" applyFont="1" applyFill="1" applyBorder="1" applyAlignment="1">
      <alignment horizontal="left" indent="2"/>
    </xf>
    <xf numFmtId="165" fontId="7" fillId="0" borderId="0" xfId="3" applyNumberFormat="1" applyFont="1" applyFill="1" applyBorder="1"/>
    <xf numFmtId="5" fontId="4" fillId="0" borderId="6" xfId="3" applyNumberFormat="1" applyFont="1" applyFill="1" applyBorder="1"/>
    <xf numFmtId="5" fontId="7" fillId="0" borderId="0" xfId="3" applyNumberFormat="1" applyFont="1" applyFill="1" applyBorder="1"/>
    <xf numFmtId="37" fontId="4" fillId="0" borderId="12" xfId="3" applyNumberFormat="1" applyFont="1" applyFill="1" applyBorder="1" applyAlignment="1"/>
    <xf numFmtId="37" fontId="4" fillId="2" borderId="12" xfId="3" applyNumberFormat="1" applyFont="1" applyFill="1" applyBorder="1" applyAlignment="1"/>
    <xf numFmtId="0" fontId="5" fillId="0" borderId="0" xfId="5" applyFont="1" applyFill="1" applyBorder="1" applyAlignment="1">
      <alignment horizontal="left" indent="1"/>
    </xf>
    <xf numFmtId="5" fontId="16" fillId="0" borderId="0" xfId="5" applyNumberFormat="1" applyFont="1" applyFill="1" applyBorder="1"/>
    <xf numFmtId="37" fontId="16" fillId="0" borderId="13" xfId="1" applyNumberFormat="1" applyFont="1" applyFill="1" applyBorder="1"/>
    <xf numFmtId="37" fontId="16" fillId="2" borderId="13" xfId="1" applyNumberFormat="1" applyFont="1" applyFill="1" applyBorder="1"/>
    <xf numFmtId="37" fontId="16" fillId="0" borderId="14" xfId="1" applyNumberFormat="1" applyFont="1" applyFill="1" applyBorder="1"/>
    <xf numFmtId="166" fontId="7" fillId="0" borderId="0" xfId="3" applyNumberFormat="1" applyFont="1" applyFill="1" applyBorder="1" applyAlignment="1">
      <alignment horizontal="left"/>
    </xf>
    <xf numFmtId="5" fontId="7" fillId="0" borderId="10" xfId="3" applyNumberFormat="1" applyFont="1" applyFill="1" applyBorder="1"/>
    <xf numFmtId="37" fontId="15" fillId="0" borderId="4" xfId="3" applyNumberFormat="1" applyFont="1" applyFill="1" applyBorder="1"/>
    <xf numFmtId="37" fontId="15" fillId="2" borderId="4" xfId="3" applyNumberFormat="1" applyFont="1" applyFill="1" applyBorder="1"/>
    <xf numFmtId="37" fontId="15" fillId="0" borderId="10" xfId="1" applyNumberFormat="1" applyFont="1" applyFill="1" applyBorder="1"/>
    <xf numFmtId="166" fontId="7" fillId="0" borderId="0" xfId="3" applyNumberFormat="1" applyFont="1" applyFill="1" applyBorder="1" applyAlignment="1">
      <alignment horizontal="left" indent="3"/>
    </xf>
    <xf numFmtId="37" fontId="7" fillId="0" borderId="4" xfId="3" applyNumberFormat="1" applyFont="1" applyFill="1" applyBorder="1"/>
    <xf numFmtId="37" fontId="7" fillId="2" borderId="4" xfId="3" applyNumberFormat="1" applyFont="1" applyFill="1" applyBorder="1"/>
    <xf numFmtId="37" fontId="7" fillId="0" borderId="0" xfId="3" applyNumberFormat="1" applyFont="1" applyFill="1" applyBorder="1"/>
    <xf numFmtId="37" fontId="7" fillId="0" borderId="4" xfId="1" applyNumberFormat="1" applyFont="1" applyFill="1" applyBorder="1"/>
    <xf numFmtId="37" fontId="7" fillId="2" borderId="4" xfId="1" applyNumberFormat="1" applyFont="1" applyFill="1" applyBorder="1"/>
    <xf numFmtId="37" fontId="7" fillId="0" borderId="0" xfId="3" applyNumberFormat="1" applyFont="1" applyFill="1" applyBorder="1" applyAlignment="1"/>
    <xf numFmtId="5" fontId="7" fillId="0" borderId="15" xfId="3" applyNumberFormat="1" applyFont="1" applyFill="1" applyBorder="1"/>
    <xf numFmtId="164" fontId="15" fillId="0" borderId="16" xfId="1" applyNumberFormat="1" applyFont="1" applyFill="1" applyBorder="1" applyAlignment="1">
      <alignment vertical="center"/>
    </xf>
    <xf numFmtId="164" fontId="15" fillId="2" borderId="16" xfId="1" applyNumberFormat="1" applyFont="1" applyFill="1" applyBorder="1" applyAlignment="1">
      <alignment vertical="center"/>
    </xf>
    <xf numFmtId="164" fontId="14" fillId="0" borderId="0" xfId="0" applyNumberFormat="1" applyFont="1" applyAlignment="1">
      <alignment vertical="center"/>
    </xf>
    <xf numFmtId="164" fontId="15" fillId="5" borderId="16" xfId="1" applyNumberFormat="1" applyFont="1" applyFill="1" applyBorder="1" applyAlignment="1">
      <alignment vertical="center"/>
    </xf>
    <xf numFmtId="5" fontId="12" fillId="0" borderId="0" xfId="3" applyNumberFormat="1" applyFont="1" applyFill="1" applyBorder="1"/>
    <xf numFmtId="164" fontId="4" fillId="0" borderId="7" xfId="1" applyNumberFormat="1" applyFont="1" applyFill="1" applyBorder="1" applyAlignment="1"/>
    <xf numFmtId="165" fontId="4" fillId="0" borderId="7" xfId="3" applyNumberFormat="1" applyFont="1" applyFill="1" applyBorder="1" applyAlignment="1"/>
    <xf numFmtId="165" fontId="4" fillId="0" borderId="8" xfId="3" applyNumberFormat="1" applyFont="1" applyFill="1" applyBorder="1" applyAlignment="1"/>
    <xf numFmtId="165" fontId="4" fillId="0" borderId="9" xfId="3" applyNumberFormat="1" applyFont="1" applyFill="1" applyBorder="1" applyAlignment="1"/>
    <xf numFmtId="9" fontId="17" fillId="6" borderId="17" xfId="2" applyFont="1" applyFill="1" applyBorder="1" applyAlignment="1">
      <alignment horizontal="center"/>
    </xf>
    <xf numFmtId="0" fontId="18" fillId="0" borderId="0" xfId="5" applyFont="1" applyFill="1" applyBorder="1"/>
    <xf numFmtId="0" fontId="18" fillId="0" borderId="0" xfId="5" applyFont="1" applyFill="1"/>
    <xf numFmtId="164" fontId="18" fillId="0" borderId="0" xfId="1" applyNumberFormat="1" applyFont="1" applyFill="1" applyBorder="1"/>
    <xf numFmtId="0" fontId="19" fillId="0" borderId="0" xfId="5" applyFont="1" applyFill="1" applyBorder="1"/>
    <xf numFmtId="7" fontId="19" fillId="0" borderId="0" xfId="5" applyNumberFormat="1" applyFont="1" applyFill="1"/>
    <xf numFmtId="0" fontId="19" fillId="0" borderId="0" xfId="5" applyFont="1" applyFill="1"/>
    <xf numFmtId="0" fontId="20" fillId="6" borderId="7" xfId="5" applyFont="1" applyFill="1" applyBorder="1" applyAlignment="1">
      <alignment horizontal="center" wrapText="1"/>
    </xf>
    <xf numFmtId="0" fontId="21" fillId="0" borderId="0" xfId="5" applyFont="1" applyFill="1" applyBorder="1"/>
    <xf numFmtId="0" fontId="21" fillId="0" borderId="0" xfId="5" applyFont="1" applyFill="1"/>
    <xf numFmtId="0" fontId="22" fillId="0" borderId="0" xfId="5" applyFont="1" applyFill="1"/>
    <xf numFmtId="164" fontId="22" fillId="0" borderId="0" xfId="1" applyNumberFormat="1" applyFont="1" applyFill="1"/>
    <xf numFmtId="0" fontId="23" fillId="0" borderId="0" xfId="5" applyFont="1" applyFill="1" applyBorder="1"/>
    <xf numFmtId="0" fontId="23" fillId="0" borderId="0" xfId="5" applyFont="1" applyFill="1"/>
    <xf numFmtId="0" fontId="22" fillId="0" borderId="0" xfId="5" applyFont="1" applyFill="1" applyBorder="1"/>
    <xf numFmtId="164" fontId="18" fillId="0" borderId="0" xfId="1" applyNumberFormat="1" applyFont="1" applyFill="1"/>
    <xf numFmtId="164" fontId="24" fillId="0" borderId="0" xfId="1" applyNumberFormat="1" applyFont="1" applyFill="1"/>
    <xf numFmtId="0" fontId="8" fillId="0" borderId="0" xfId="5" applyFont="1" applyFill="1" applyBorder="1"/>
    <xf numFmtId="164" fontId="25" fillId="0" borderId="0" xfId="1" applyNumberFormat="1" applyFont="1" applyFill="1"/>
    <xf numFmtId="0" fontId="24" fillId="0" borderId="0" xfId="5" applyFont="1" applyFill="1" applyBorder="1"/>
    <xf numFmtId="0" fontId="24" fillId="0" borderId="0" xfId="5" applyFont="1" applyFill="1"/>
    <xf numFmtId="0" fontId="26" fillId="0" borderId="0" xfId="5" applyFont="1" applyFill="1" applyBorder="1"/>
    <xf numFmtId="0" fontId="26" fillId="0" borderId="0" xfId="5" applyFont="1" applyFill="1"/>
    <xf numFmtId="6" fontId="24" fillId="0" borderId="0" xfId="5" applyNumberFormat="1" applyFont="1" applyFill="1"/>
    <xf numFmtId="0" fontId="27" fillId="0" borderId="0" xfId="5" applyFont="1" applyFill="1" applyBorder="1"/>
    <xf numFmtId="0" fontId="27" fillId="0" borderId="0" xfId="5" applyFont="1" applyFill="1"/>
    <xf numFmtId="164" fontId="27" fillId="0" borderId="0" xfId="1" applyNumberFormat="1" applyFont="1" applyFill="1"/>
    <xf numFmtId="164" fontId="28" fillId="0" borderId="0" xfId="5" applyNumberFormat="1" applyFont="1" applyFill="1"/>
    <xf numFmtId="0" fontId="29" fillId="0" borderId="0" xfId="5" applyFont="1" applyFill="1" applyBorder="1"/>
    <xf numFmtId="0" fontId="29" fillId="0" borderId="0" xfId="5" applyFont="1" applyFill="1"/>
    <xf numFmtId="164" fontId="8" fillId="0" borderId="0" xfId="1" applyNumberFormat="1" applyFont="1" applyFill="1"/>
    <xf numFmtId="4" fontId="4" fillId="0" borderId="4" xfId="3" applyNumberFormat="1" applyFont="1" applyFill="1" applyBorder="1" applyAlignment="1"/>
    <xf numFmtId="4" fontId="4" fillId="0" borderId="4" xfId="1" applyNumberFormat="1" applyFont="1" applyFill="1" applyBorder="1" applyAlignment="1"/>
    <xf numFmtId="0" fontId="7" fillId="0" borderId="3" xfId="3" applyFont="1" applyFill="1" applyBorder="1" applyAlignment="1">
      <alignment horizontal="center" wrapText="1"/>
    </xf>
    <xf numFmtId="0" fontId="7" fillId="0" borderId="9" xfId="3" applyFont="1" applyFill="1" applyBorder="1" applyAlignment="1">
      <alignment horizontal="center" wrapText="1"/>
    </xf>
    <xf numFmtId="37" fontId="7" fillId="0" borderId="10" xfId="1" applyNumberFormat="1" applyFont="1" applyFill="1" applyBorder="1" applyAlignment="1"/>
    <xf numFmtId="37" fontId="4" fillId="0" borderId="0" xfId="1" applyNumberFormat="1" applyFont="1" applyFill="1" applyBorder="1" applyAlignment="1"/>
    <xf numFmtId="37" fontId="13" fillId="0" borderId="10" xfId="1" applyNumberFormat="1" applyFont="1" applyFill="1" applyBorder="1" applyAlignment="1"/>
    <xf numFmtId="37" fontId="4" fillId="0" borderId="6" xfId="1" applyNumberFormat="1" applyFont="1" applyFill="1" applyBorder="1" applyAlignment="1"/>
    <xf numFmtId="4" fontId="4" fillId="0" borderId="0" xfId="1" applyNumberFormat="1" applyFont="1" applyFill="1" applyBorder="1" applyAlignment="1"/>
    <xf numFmtId="37" fontId="15" fillId="0" borderId="0" xfId="3" applyNumberFormat="1" applyFont="1" applyFill="1" applyBorder="1"/>
    <xf numFmtId="37" fontId="7" fillId="0" borderId="0" xfId="1" applyNumberFormat="1" applyFont="1" applyFill="1" applyBorder="1"/>
    <xf numFmtId="4" fontId="12" fillId="0" borderId="0" xfId="1" applyNumberFormat="1" applyFont="1" applyFill="1" applyBorder="1" applyAlignment="1"/>
    <xf numFmtId="0" fontId="7" fillId="0" borderId="2" xfId="3" applyFont="1" applyFill="1" applyBorder="1" applyAlignment="1">
      <alignment horizontal="center" wrapText="1"/>
    </xf>
    <xf numFmtId="0" fontId="7" fillId="0" borderId="5" xfId="3" applyFont="1" applyFill="1" applyBorder="1" applyAlignment="1">
      <alignment horizontal="center" wrapText="1"/>
    </xf>
    <xf numFmtId="0" fontId="7" fillId="0" borderId="8" xfId="3" applyFont="1" applyFill="1" applyBorder="1" applyAlignment="1">
      <alignment horizontal="center" wrapText="1"/>
    </xf>
    <xf numFmtId="164" fontId="24" fillId="0" borderId="0" xfId="1" applyNumberFormat="1" applyFont="1" applyFill="1" applyBorder="1"/>
    <xf numFmtId="164" fontId="27" fillId="0" borderId="0" xfId="1" applyNumberFormat="1" applyFont="1" applyFill="1" applyBorder="1"/>
    <xf numFmtId="37" fontId="7" fillId="7" borderId="4" xfId="1" applyNumberFormat="1" applyFont="1" applyFill="1" applyBorder="1"/>
    <xf numFmtId="167" fontId="19" fillId="0" borderId="0" xfId="5" applyNumberFormat="1" applyFont="1" applyFill="1" applyBorder="1"/>
    <xf numFmtId="164" fontId="19" fillId="0" borderId="0" xfId="5" applyNumberFormat="1" applyFont="1" applyFill="1"/>
    <xf numFmtId="0" fontId="32" fillId="0" borderId="0" xfId="5" applyFont="1" applyFill="1" applyBorder="1"/>
    <xf numFmtId="0" fontId="32" fillId="0" borderId="0" xfId="5" applyFont="1" applyFill="1"/>
    <xf numFmtId="164" fontId="15" fillId="5" borderId="18" xfId="1" applyNumberFormat="1" applyFont="1" applyFill="1" applyBorder="1" applyAlignment="1">
      <alignment vertical="center"/>
    </xf>
    <xf numFmtId="164" fontId="15" fillId="5" borderId="19" xfId="1" applyNumberFormat="1" applyFont="1" applyFill="1" applyBorder="1" applyAlignment="1">
      <alignment vertical="center"/>
    </xf>
    <xf numFmtId="164" fontId="23" fillId="0" borderId="0" xfId="5" applyNumberFormat="1" applyFont="1" applyFill="1"/>
    <xf numFmtId="37" fontId="7" fillId="3" borderId="7" xfId="3" applyNumberFormat="1" applyFont="1" applyFill="1" applyBorder="1" applyAlignment="1"/>
    <xf numFmtId="164" fontId="15" fillId="5" borderId="14" xfId="1" applyNumberFormat="1" applyFont="1" applyFill="1" applyBorder="1" applyAlignment="1">
      <alignment vertical="center"/>
    </xf>
    <xf numFmtId="37" fontId="7" fillId="3" borderId="17" xfId="3" applyNumberFormat="1" applyFont="1" applyFill="1" applyBorder="1" applyAlignment="1"/>
    <xf numFmtId="9" fontId="0" fillId="0" borderId="0" xfId="2" applyFont="1"/>
    <xf numFmtId="37" fontId="5" fillId="3" borderId="13" xfId="1" applyNumberFormat="1" applyFont="1" applyFill="1" applyBorder="1"/>
    <xf numFmtId="0" fontId="32" fillId="0" borderId="0" xfId="5" applyFont="1" applyFill="1" applyAlignment="1">
      <alignment horizontal="left" wrapText="1"/>
    </xf>
    <xf numFmtId="0" fontId="32" fillId="0" borderId="0" xfId="5" applyFont="1" applyFill="1" applyBorder="1" applyAlignment="1">
      <alignment horizontal="left" wrapText="1"/>
    </xf>
    <xf numFmtId="0" fontId="7" fillId="4" borderId="1" xfId="3" applyFont="1" applyFill="1" applyBorder="1" applyAlignment="1">
      <alignment horizontal="center" wrapText="1"/>
    </xf>
    <xf numFmtId="0" fontId="7" fillId="4" borderId="4" xfId="3" applyFont="1" applyFill="1" applyBorder="1" applyAlignment="1">
      <alignment horizontal="center" wrapText="1"/>
    </xf>
    <xf numFmtId="0" fontId="7" fillId="4" borderId="7" xfId="3" applyFont="1" applyFill="1" applyBorder="1" applyAlignment="1">
      <alignment horizontal="center" wrapText="1"/>
    </xf>
    <xf numFmtId="0" fontId="9" fillId="0" borderId="0" xfId="3" applyFont="1" applyFill="1" applyBorder="1" applyAlignment="1">
      <alignment horizontal="center"/>
    </xf>
    <xf numFmtId="0" fontId="10" fillId="0" borderId="0" xfId="0" applyFont="1" applyBorder="1" applyAlignment="1">
      <alignment horizontal="center" vertical="top"/>
    </xf>
    <xf numFmtId="0" fontId="11" fillId="0" borderId="0" xfId="0" applyFont="1" applyBorder="1" applyAlignment="1">
      <alignment horizontal="center" vertical="top"/>
    </xf>
    <xf numFmtId="0" fontId="7" fillId="0" borderId="0" xfId="3" applyFont="1" applyFill="1" applyBorder="1" applyAlignment="1">
      <alignment horizontal="center" wrapText="1"/>
    </xf>
    <xf numFmtId="0" fontId="7" fillId="0" borderId="6" xfId="3" applyFont="1" applyFill="1" applyBorder="1" applyAlignment="1">
      <alignment horizontal="center" wrapText="1"/>
    </xf>
    <xf numFmtId="164" fontId="7" fillId="0" borderId="1" xfId="1" applyNumberFormat="1" applyFont="1" applyFill="1" applyBorder="1" applyAlignment="1">
      <alignment horizontal="center" wrapText="1"/>
    </xf>
    <xf numFmtId="164" fontId="7" fillId="0" borderId="4" xfId="1" applyNumberFormat="1" applyFont="1" applyFill="1" applyBorder="1" applyAlignment="1">
      <alignment horizontal="center" wrapText="1"/>
    </xf>
    <xf numFmtId="164" fontId="7" fillId="0" borderId="7" xfId="1" applyNumberFormat="1" applyFont="1" applyFill="1" applyBorder="1" applyAlignment="1">
      <alignment horizontal="center" wrapText="1"/>
    </xf>
    <xf numFmtId="164" fontId="7" fillId="2" borderId="1" xfId="1" applyNumberFormat="1" applyFont="1" applyFill="1" applyBorder="1" applyAlignment="1">
      <alignment horizontal="center" wrapText="1"/>
    </xf>
    <xf numFmtId="164" fontId="7" fillId="2" borderId="4" xfId="1" applyNumberFormat="1" applyFont="1" applyFill="1" applyBorder="1" applyAlignment="1">
      <alignment horizontal="center" wrapText="1"/>
    </xf>
    <xf numFmtId="164" fontId="7" fillId="2" borderId="7" xfId="1" applyNumberFormat="1" applyFont="1" applyFill="1" applyBorder="1" applyAlignment="1">
      <alignment horizontal="center" wrapText="1"/>
    </xf>
    <xf numFmtId="0" fontId="7" fillId="0" borderId="2" xfId="3" applyFont="1" applyFill="1" applyBorder="1" applyAlignment="1">
      <alignment horizontal="center" wrapText="1"/>
    </xf>
    <xf numFmtId="0" fontId="7" fillId="0" borderId="5" xfId="3" applyFont="1" applyFill="1" applyBorder="1" applyAlignment="1">
      <alignment horizontal="center" wrapText="1"/>
    </xf>
    <xf numFmtId="0" fontId="7" fillId="0" borderId="8" xfId="3" applyFont="1" applyFill="1" applyBorder="1" applyAlignment="1">
      <alignment horizontal="center" wrapText="1"/>
    </xf>
    <xf numFmtId="0" fontId="7" fillId="0" borderId="1" xfId="3" applyFont="1" applyFill="1" applyBorder="1" applyAlignment="1">
      <alignment horizontal="center" wrapText="1"/>
    </xf>
    <xf numFmtId="0" fontId="7" fillId="0" borderId="4" xfId="3" applyFont="1" applyFill="1" applyBorder="1" applyAlignment="1">
      <alignment horizontal="center" wrapText="1"/>
    </xf>
    <xf numFmtId="0" fontId="7" fillId="0" borderId="7" xfId="3" applyFont="1" applyFill="1" applyBorder="1" applyAlignment="1">
      <alignment horizontal="center" wrapText="1"/>
    </xf>
    <xf numFmtId="0" fontId="7" fillId="0" borderId="3" xfId="3" applyFont="1" applyFill="1" applyBorder="1" applyAlignment="1">
      <alignment horizontal="center" wrapText="1"/>
    </xf>
    <xf numFmtId="0" fontId="7" fillId="0" borderId="9" xfId="3" applyFont="1" applyFill="1" applyBorder="1" applyAlignment="1">
      <alignment horizontal="center" wrapText="1"/>
    </xf>
    <xf numFmtId="0" fontId="7" fillId="3" borderId="1" xfId="3" applyFont="1" applyFill="1" applyBorder="1" applyAlignment="1">
      <alignment horizontal="center" wrapText="1"/>
    </xf>
    <xf numFmtId="0" fontId="7" fillId="3" borderId="4" xfId="3" applyFont="1" applyFill="1" applyBorder="1" applyAlignment="1">
      <alignment horizontal="center" wrapText="1"/>
    </xf>
    <xf numFmtId="0" fontId="7" fillId="3" borderId="7" xfId="3" applyFont="1" applyFill="1" applyBorder="1" applyAlignment="1">
      <alignment horizontal="center" wrapText="1"/>
    </xf>
  </cellXfs>
  <cellStyles count="130">
    <cellStyle name="Comma 10" xfId="7"/>
    <cellStyle name="Comma 10 2" xfId="8"/>
    <cellStyle name="Comma 10 3" xfId="9"/>
    <cellStyle name="Comma 10 4" xfId="10"/>
    <cellStyle name="Comma 2" xfId="11"/>
    <cellStyle name="Comma 2 10" xfId="12"/>
    <cellStyle name="Comma 2 11" xfId="13"/>
    <cellStyle name="Comma 2 12" xfId="14"/>
    <cellStyle name="Comma 2 13" xfId="15"/>
    <cellStyle name="Comma 2 13 2" xfId="16"/>
    <cellStyle name="Comma 2 2" xfId="17"/>
    <cellStyle name="Comma 2 3" xfId="18"/>
    <cellStyle name="Comma 2 4" xfId="19"/>
    <cellStyle name="Comma 2 5" xfId="20"/>
    <cellStyle name="Comma 2 6" xfId="21"/>
    <cellStyle name="Comma 2 7" xfId="22"/>
    <cellStyle name="Comma 2 8" xfId="23"/>
    <cellStyle name="Comma 2 9" xfId="24"/>
    <cellStyle name="Comma 3" xfId="25"/>
    <cellStyle name="Comma 4" xfId="26"/>
    <cellStyle name="Comma 4 2" xfId="27"/>
    <cellStyle name="Comma 4 3" xfId="28"/>
    <cellStyle name="Comma 4 4" xfId="29"/>
    <cellStyle name="Comma 7" xfId="30"/>
    <cellStyle name="Comma 7 2" xfId="31"/>
    <cellStyle name="Comma 7 3" xfId="32"/>
    <cellStyle name="Comma 7 4" xfId="33"/>
    <cellStyle name="Comma 8" xfId="34"/>
    <cellStyle name="Comma 8 2" xfId="35"/>
    <cellStyle name="Comma 8 3" xfId="36"/>
    <cellStyle name="Comma 8 4" xfId="37"/>
    <cellStyle name="Currency" xfId="1" builtinId="4"/>
    <cellStyle name="Currency 2" xfId="38"/>
    <cellStyle name="Currency 2 2" xfId="39"/>
    <cellStyle name="Currency 2 3" xfId="40"/>
    <cellStyle name="Currency 2 4" xfId="41"/>
    <cellStyle name="Currency 3" xfId="42"/>
    <cellStyle name="Currency 3 2" xfId="43"/>
    <cellStyle name="Currency 4" xfId="44"/>
    <cellStyle name="Currency 4 2" xfId="45"/>
    <cellStyle name="Currency 5" xfId="46"/>
    <cellStyle name="Currency 9" xfId="47"/>
    <cellStyle name="Currency 9 2" xfId="48"/>
    <cellStyle name="Currency 9 3" xfId="49"/>
    <cellStyle name="Currency 9 4" xfId="50"/>
    <cellStyle name="Normal" xfId="0" builtinId="0"/>
    <cellStyle name="Normal 10" xfId="51"/>
    <cellStyle name="Normal 10 2" xfId="6"/>
    <cellStyle name="Normal 11" xfId="52"/>
    <cellStyle name="Normal 2" xfId="53"/>
    <cellStyle name="Normal 2 2" xfId="54"/>
    <cellStyle name="Normal 2 3" xfId="55"/>
    <cellStyle name="Normal 2 3 2" xfId="5"/>
    <cellStyle name="Normal 2 4" xfId="56"/>
    <cellStyle name="Normal 2 5" xfId="57"/>
    <cellStyle name="Normal 2 6" xfId="58"/>
    <cellStyle name="Normal 2 6 2" xfId="59"/>
    <cellStyle name="Normal 2 7" xfId="60"/>
    <cellStyle name="Normal 3" xfId="61"/>
    <cellStyle name="Normal 3 2" xfId="62"/>
    <cellStyle name="Normal 3 2 2" xfId="63"/>
    <cellStyle name="Normal 3 2 2 2" xfId="64"/>
    <cellStyle name="Normal 3 2 3" xfId="65"/>
    <cellStyle name="Normal 3 2 3 2" xfId="66"/>
    <cellStyle name="Normal 3 2 4" xfId="67"/>
    <cellStyle name="Normal 3 2 4 2" xfId="68"/>
    <cellStyle name="Normal 3 2 5" xfId="69"/>
    <cellStyle name="Normal 3 3" xfId="70"/>
    <cellStyle name="Normal 3 3 2" xfId="71"/>
    <cellStyle name="Normal 3 3 2 2" xfId="72"/>
    <cellStyle name="Normal 3 3 3" xfId="73"/>
    <cellStyle name="Normal 3 3 3 2" xfId="74"/>
    <cellStyle name="Normal 3 3 4" xfId="75"/>
    <cellStyle name="Normal 3 3 4 2" xfId="76"/>
    <cellStyle name="Normal 3 3 5" xfId="77"/>
    <cellStyle name="Normal 3 4" xfId="78"/>
    <cellStyle name="Normal 3 4 2" xfId="79"/>
    <cellStyle name="Normal 3 4 2 2" xfId="80"/>
    <cellStyle name="Normal 3 4 3" xfId="81"/>
    <cellStyle name="Normal 3 4 3 2" xfId="82"/>
    <cellStyle name="Normal 3 4 4" xfId="83"/>
    <cellStyle name="Normal 3 4 4 2" xfId="84"/>
    <cellStyle name="Normal 3 4 5" xfId="4"/>
    <cellStyle name="Normal 3 4 5 2" xfId="85"/>
    <cellStyle name="Normal 3 4 6" xfId="86"/>
    <cellStyle name="Normal 3 5" xfId="87"/>
    <cellStyle name="Normal 3 6" xfId="88"/>
    <cellStyle name="Normal 3 7" xfId="89"/>
    <cellStyle name="Normal 3 8" xfId="90"/>
    <cellStyle name="Normal 3_Summary_VP_FiscalOps_Departmental Finance Statements" xfId="91"/>
    <cellStyle name="Normal 4" xfId="92"/>
    <cellStyle name="Normal 4 2" xfId="93"/>
    <cellStyle name="Normal 4 3" xfId="94"/>
    <cellStyle name="Normal 4 4" xfId="95"/>
    <cellStyle name="Normal 5" xfId="96"/>
    <cellStyle name="Normal 5 2" xfId="97"/>
    <cellStyle name="Normal 5 3" xfId="98"/>
    <cellStyle name="Normal 5 4" xfId="99"/>
    <cellStyle name="Normal 6" xfId="100"/>
    <cellStyle name="Normal 6 2" xfId="101"/>
    <cellStyle name="Normal 6 3" xfId="102"/>
    <cellStyle name="Normal 6 4" xfId="103"/>
    <cellStyle name="Normal 7" xfId="104"/>
    <cellStyle name="Normal 7 2" xfId="105"/>
    <cellStyle name="Normal 7 3" xfId="106"/>
    <cellStyle name="Normal 7 4" xfId="107"/>
    <cellStyle name="Normal 8" xfId="108"/>
    <cellStyle name="Normal 8 2" xfId="109"/>
    <cellStyle name="Normal 8 3" xfId="110"/>
    <cellStyle name="Normal 8 4" xfId="111"/>
    <cellStyle name="Normal 9" xfId="112"/>
    <cellStyle name="Normal 9 2" xfId="113"/>
    <cellStyle name="Normal 9 3" xfId="114"/>
    <cellStyle name="Normal_FY08 Combined Parking FY09 2" xfId="3"/>
    <cellStyle name="Percent" xfId="2" builtinId="5"/>
    <cellStyle name="Percent 2" xfId="115"/>
    <cellStyle name="Percent 2 2" xfId="116"/>
    <cellStyle name="Percent 2 3" xfId="117"/>
    <cellStyle name="Percent 2 4" xfId="118"/>
    <cellStyle name="Percent 2 5" xfId="119"/>
    <cellStyle name="Percent 2 6" xfId="120"/>
    <cellStyle name="Percent 2 6 2" xfId="121"/>
    <cellStyle name="Percent 3" xfId="122"/>
    <cellStyle name="Percent 3 2" xfId="123"/>
    <cellStyle name="Percent 4" xfId="124"/>
    <cellStyle name="Percent 4 2" xfId="125"/>
    <cellStyle name="Percent 5" xfId="126"/>
    <cellStyle name="Percent 6" xfId="127"/>
    <cellStyle name="Percent 7" xfId="128"/>
    <cellStyle name="Style 1" xfId="12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onnect.wayne.edu/Budget%20Development/Auxiliary/FY2009/FY09%20Contract%20Servic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MyDocuments\Budget%20Development\BAO%20GF%200326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_L"/>
      <sheetName val="Variance_Assumptions"/>
      <sheetName val="FTE Historical"/>
      <sheetName val="Productivity"/>
      <sheetName val="Performance Measures"/>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nancials"/>
      <sheetName val="BAO Roll up"/>
      <sheetName val="43A13 AVP Office"/>
      <sheetName val="43A14 Tech Support"/>
      <sheetName val="43A31 One Card"/>
      <sheetName val="Leasing Retail Services"/>
      <sheetName val="Mail Receiving Consolidated"/>
      <sheetName val="43A41 Mail Room Adm"/>
      <sheetName val="43A42 Postage"/>
      <sheetName val="43A431 Receiving Adm"/>
      <sheetName val="43A49 Addressing"/>
      <sheetName val="Original"/>
    </sheetNames>
    <sheetDataSet>
      <sheetData sheetId="0" refreshError="1"/>
      <sheetData sheetId="1" refreshError="1">
        <row r="8">
          <cell r="H8">
            <v>-650</v>
          </cell>
        </row>
        <row r="13">
          <cell r="C13">
            <v>-78377.539999999994</v>
          </cell>
        </row>
        <row r="34">
          <cell r="C34">
            <v>361690.85</v>
          </cell>
        </row>
        <row r="40">
          <cell r="C40">
            <v>1665933.3699999996</v>
          </cell>
        </row>
        <row r="48">
          <cell r="C48">
            <v>5654</v>
          </cell>
        </row>
        <row r="52">
          <cell r="C52">
            <v>4025</v>
          </cell>
        </row>
        <row r="54">
          <cell r="C54">
            <v>109549.93</v>
          </cell>
        </row>
        <row r="59">
          <cell r="C59">
            <v>23064.720000000001</v>
          </cell>
        </row>
        <row r="73">
          <cell r="C73">
            <v>349749.84000000008</v>
          </cell>
        </row>
        <row r="77">
          <cell r="C77">
            <v>1798</v>
          </cell>
        </row>
        <row r="83">
          <cell r="C83">
            <v>38049.379999999997</v>
          </cell>
        </row>
        <row r="91">
          <cell r="C91">
            <v>1068019.08</v>
          </cell>
        </row>
        <row r="100">
          <cell r="C100">
            <v>88143.98</v>
          </cell>
        </row>
        <row r="101">
          <cell r="C101">
            <v>-1295212.74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74"/>
  <sheetViews>
    <sheetView showGridLines="0" tabSelected="1" topLeftCell="A20" zoomScale="85" zoomScaleNormal="85" workbookViewId="0">
      <selection activeCell="B46" sqref="B46:P47"/>
    </sheetView>
  </sheetViews>
  <sheetFormatPr defaultColWidth="9.109375" defaultRowHeight="13.2"/>
  <cols>
    <col min="1" max="1" width="4.109375" style="135" customWidth="1"/>
    <col min="2" max="2" width="41.88671875" style="6" customWidth="1"/>
    <col min="3" max="3" width="16.5546875" style="6" hidden="1" customWidth="1"/>
    <col min="4" max="4" width="2" style="136" hidden="1" customWidth="1"/>
    <col min="5" max="5" width="3.5546875" style="136" customWidth="1"/>
    <col min="6" max="6" width="16.88671875" style="137" customWidth="1"/>
    <col min="7" max="7" width="15.109375" style="124" customWidth="1"/>
    <col min="8" max="8" width="2.6640625" style="124" customWidth="1"/>
    <col min="9" max="9" width="15.88671875" style="6" customWidth="1"/>
    <col min="10" max="10" width="3.44140625" style="6" customWidth="1"/>
    <col min="11" max="11" width="19.88671875" style="6" customWidth="1"/>
    <col min="12" max="12" width="4.44140625" style="6" customWidth="1"/>
    <col min="13" max="13" width="19.88671875" style="6" customWidth="1"/>
    <col min="14" max="14" width="17.6640625" style="6" customWidth="1"/>
    <col min="15" max="15" width="2.6640625" style="6" customWidth="1"/>
    <col min="16" max="16" width="17" style="6" customWidth="1"/>
    <col min="17" max="17" width="3.6640625" style="6" customWidth="1"/>
    <col min="18" max="18" width="14" style="6" bestFit="1" customWidth="1"/>
    <col min="19" max="19" width="9.5546875" style="6" bestFit="1" customWidth="1"/>
    <col min="20" max="16384" width="9.109375" style="6"/>
  </cols>
  <sheetData>
    <row r="1" spans="1:19" ht="13.8">
      <c r="A1" s="1"/>
      <c r="B1" s="2"/>
      <c r="C1" s="1"/>
      <c r="D1" s="1"/>
      <c r="E1" s="1"/>
      <c r="F1" s="3"/>
      <c r="G1" s="1"/>
      <c r="H1" s="1"/>
      <c r="I1" s="4"/>
      <c r="J1" s="4"/>
      <c r="K1" s="4"/>
      <c r="L1" s="4"/>
      <c r="M1" s="4"/>
      <c r="N1" s="4"/>
      <c r="O1" s="4"/>
      <c r="P1" s="5"/>
      <c r="Q1" s="4"/>
    </row>
    <row r="2" spans="1:19" ht="13.8">
      <c r="A2" s="1"/>
      <c r="B2" s="2"/>
      <c r="C2" s="1"/>
      <c r="D2" s="1"/>
      <c r="E2" s="1"/>
      <c r="F2" s="3"/>
      <c r="G2" s="1"/>
      <c r="H2" s="1"/>
      <c r="I2" s="4"/>
      <c r="J2" s="4"/>
      <c r="K2" s="4"/>
      <c r="L2" s="4"/>
      <c r="M2" s="4"/>
      <c r="N2" s="4"/>
      <c r="O2" s="4"/>
      <c r="P2" s="4"/>
      <c r="Q2" s="4"/>
    </row>
    <row r="3" spans="1:19" ht="25.2">
      <c r="A3" s="173" t="s">
        <v>29</v>
      </c>
      <c r="B3" s="173"/>
      <c r="C3" s="173"/>
      <c r="D3" s="173"/>
      <c r="E3" s="173"/>
      <c r="F3" s="173"/>
      <c r="G3" s="173"/>
      <c r="H3" s="173"/>
      <c r="I3" s="173"/>
      <c r="J3" s="173"/>
      <c r="K3" s="173"/>
      <c r="L3" s="173"/>
      <c r="M3" s="173"/>
      <c r="N3" s="173"/>
      <c r="O3" s="173"/>
      <c r="P3" s="173"/>
      <c r="Q3" s="4"/>
    </row>
    <row r="4" spans="1:19" ht="21">
      <c r="A4" s="174" t="s">
        <v>36</v>
      </c>
      <c r="B4" s="174"/>
      <c r="C4" s="174"/>
      <c r="D4" s="174"/>
      <c r="E4" s="174"/>
      <c r="F4" s="174"/>
      <c r="G4" s="174"/>
      <c r="H4" s="174"/>
      <c r="I4" s="174"/>
      <c r="J4" s="174"/>
      <c r="K4" s="174"/>
      <c r="L4" s="174"/>
      <c r="M4" s="174"/>
      <c r="N4" s="174"/>
      <c r="O4" s="174"/>
      <c r="P4" s="174"/>
      <c r="Q4" s="4"/>
    </row>
    <row r="5" spans="1:19" ht="17.399999999999999">
      <c r="A5" s="175" t="s">
        <v>40</v>
      </c>
      <c r="B5" s="175"/>
      <c r="C5" s="175"/>
      <c r="D5" s="175"/>
      <c r="E5" s="175"/>
      <c r="F5" s="175"/>
      <c r="G5" s="175"/>
      <c r="H5" s="175"/>
      <c r="I5" s="175"/>
      <c r="J5" s="175"/>
      <c r="K5" s="175"/>
      <c r="L5" s="175"/>
      <c r="M5" s="175"/>
      <c r="N5" s="175"/>
      <c r="O5" s="175"/>
      <c r="P5" s="175"/>
      <c r="Q5" s="4"/>
    </row>
    <row r="6" spans="1:19" ht="13.8">
      <c r="A6" s="7"/>
      <c r="B6" s="7"/>
      <c r="C6" s="7"/>
      <c r="D6" s="7"/>
      <c r="E6" s="7"/>
      <c r="F6" s="7"/>
      <c r="G6" s="7"/>
      <c r="H6" s="7"/>
      <c r="I6" s="7"/>
      <c r="J6" s="7"/>
      <c r="K6" s="7"/>
      <c r="L6" s="7"/>
      <c r="M6" s="7"/>
      <c r="N6" s="7"/>
      <c r="O6" s="7"/>
      <c r="P6" s="7"/>
      <c r="Q6" s="4"/>
    </row>
    <row r="7" spans="1:19" ht="14.4" thickBot="1">
      <c r="A7" s="7"/>
      <c r="B7" s="7"/>
      <c r="C7" s="7"/>
      <c r="D7" s="7"/>
      <c r="E7" s="7"/>
      <c r="F7" s="7"/>
      <c r="G7" s="7"/>
      <c r="H7" s="7"/>
      <c r="I7" s="7"/>
      <c r="J7" s="7"/>
      <c r="K7" s="7"/>
      <c r="L7" s="7"/>
      <c r="M7" s="7"/>
      <c r="N7" s="7"/>
      <c r="O7" s="7"/>
      <c r="P7" s="7"/>
      <c r="Q7" s="4"/>
    </row>
    <row r="8" spans="1:19" ht="21" customHeight="1">
      <c r="A8" s="8"/>
      <c r="B8" s="9"/>
      <c r="C8" s="176" t="s">
        <v>0</v>
      </c>
      <c r="D8" s="8"/>
      <c r="E8" s="8"/>
      <c r="F8" s="178" t="s">
        <v>30</v>
      </c>
      <c r="G8" s="181" t="s">
        <v>31</v>
      </c>
      <c r="H8"/>
      <c r="I8" s="184" t="s">
        <v>42</v>
      </c>
      <c r="J8" s="150"/>
      <c r="K8" s="187" t="s">
        <v>43</v>
      </c>
      <c r="L8" s="140"/>
      <c r="M8" s="190" t="s">
        <v>32</v>
      </c>
      <c r="N8" s="192" t="s">
        <v>33</v>
      </c>
      <c r="O8"/>
      <c r="P8" s="170" t="s">
        <v>34</v>
      </c>
      <c r="Q8" s="8"/>
    </row>
    <row r="9" spans="1:19" ht="13.8">
      <c r="A9" s="8"/>
      <c r="B9" s="9"/>
      <c r="C9" s="176"/>
      <c r="D9" s="8"/>
      <c r="E9" s="8"/>
      <c r="F9" s="179"/>
      <c r="G9" s="182"/>
      <c r="H9"/>
      <c r="I9" s="185"/>
      <c r="J9" s="151"/>
      <c r="K9" s="188"/>
      <c r="L9" s="8"/>
      <c r="M9" s="176"/>
      <c r="N9" s="193"/>
      <c r="O9"/>
      <c r="P9" s="171"/>
      <c r="Q9" s="8"/>
    </row>
    <row r="10" spans="1:19" ht="20.399999999999999" customHeight="1" thickBot="1">
      <c r="A10" s="8"/>
      <c r="B10" s="9"/>
      <c r="C10" s="177"/>
      <c r="D10" s="8"/>
      <c r="E10" s="8"/>
      <c r="F10" s="180"/>
      <c r="G10" s="183"/>
      <c r="H10"/>
      <c r="I10" s="186"/>
      <c r="J10" s="152"/>
      <c r="K10" s="189"/>
      <c r="L10" s="141"/>
      <c r="M10" s="191"/>
      <c r="N10" s="194"/>
      <c r="O10"/>
      <c r="P10" s="172"/>
      <c r="Q10" s="8"/>
    </row>
    <row r="11" spans="1:19" ht="13.8">
      <c r="A11" s="8"/>
      <c r="B11" s="9"/>
      <c r="C11" s="10"/>
      <c r="D11" s="8"/>
      <c r="E11" s="8"/>
      <c r="F11" s="11"/>
      <c r="G11" s="12"/>
      <c r="H11"/>
      <c r="I11" s="13"/>
      <c r="J11" s="13"/>
      <c r="K11" s="14"/>
      <c r="L11" s="10"/>
      <c r="M11" s="10"/>
      <c r="N11" s="15"/>
      <c r="O11"/>
      <c r="P11" s="16"/>
      <c r="Q11" s="10"/>
    </row>
    <row r="12" spans="1:19" ht="13.8">
      <c r="A12" s="17"/>
      <c r="B12" s="18" t="s">
        <v>1</v>
      </c>
      <c r="C12" s="19"/>
      <c r="D12" s="17"/>
      <c r="E12" s="17"/>
      <c r="F12" s="20"/>
      <c r="G12" s="21"/>
      <c r="H12"/>
      <c r="I12" s="22"/>
      <c r="J12" s="22"/>
      <c r="K12" s="23"/>
      <c r="L12" s="19"/>
      <c r="M12" s="19"/>
      <c r="N12" s="24"/>
      <c r="O12"/>
      <c r="P12" s="25"/>
      <c r="Q12" s="19"/>
    </row>
    <row r="13" spans="1:19" ht="13.8">
      <c r="A13" s="17"/>
      <c r="B13" s="26" t="s">
        <v>2</v>
      </c>
      <c r="C13" s="27">
        <f>SUM('[2]BAO Roll up'!C13)</f>
        <v>-78377.539999999994</v>
      </c>
      <c r="D13" s="28"/>
      <c r="E13" s="17"/>
      <c r="F13" s="29"/>
      <c r="G13" s="30"/>
      <c r="H13" s="31"/>
      <c r="I13" s="29"/>
      <c r="J13" s="29"/>
      <c r="K13" s="29"/>
      <c r="L13" s="27"/>
      <c r="M13" s="27"/>
      <c r="N13" s="32">
        <f>SUM(I13:M13)</f>
        <v>0</v>
      </c>
      <c r="O13" s="31"/>
      <c r="P13" s="33">
        <f>+G13-N13</f>
        <v>0</v>
      </c>
      <c r="Q13" s="27"/>
    </row>
    <row r="14" spans="1:19" ht="13.8">
      <c r="A14" s="34"/>
      <c r="B14" s="35" t="s">
        <v>3</v>
      </c>
      <c r="C14" s="36">
        <f>SUM(C13:C13)</f>
        <v>-78377.539999999994</v>
      </c>
      <c r="D14" s="37"/>
      <c r="E14" s="34"/>
      <c r="F14" s="38">
        <f>SUM(F13)</f>
        <v>0</v>
      </c>
      <c r="G14" s="39">
        <f>SUM(G13)</f>
        <v>0</v>
      </c>
      <c r="H14" s="40"/>
      <c r="I14" s="38">
        <f>SUM(I13)</f>
        <v>0</v>
      </c>
      <c r="J14" s="38"/>
      <c r="K14" s="38">
        <f>SUM(K13)</f>
        <v>0</v>
      </c>
      <c r="L14" s="142"/>
      <c r="M14" s="41">
        <f>SUM(M13:M13)</f>
        <v>0</v>
      </c>
      <c r="N14" s="42">
        <f>SUM(N13:N13)</f>
        <v>0</v>
      </c>
      <c r="O14" s="40"/>
      <c r="P14" s="43">
        <f>SUM(P13:P13)</f>
        <v>0</v>
      </c>
      <c r="Q14" s="37"/>
    </row>
    <row r="15" spans="1:19" ht="13.8">
      <c r="A15" s="17"/>
      <c r="B15" s="26"/>
      <c r="C15" s="19"/>
      <c r="D15" s="17"/>
      <c r="E15" s="17"/>
      <c r="F15" s="44"/>
      <c r="G15" s="45"/>
      <c r="H15" s="40"/>
      <c r="I15" s="44"/>
      <c r="J15" s="44"/>
      <c r="K15" s="44"/>
      <c r="L15" s="143"/>
      <c r="M15" s="46"/>
      <c r="N15" s="47"/>
      <c r="O15" s="40"/>
      <c r="P15" s="48"/>
      <c r="Q15" s="19"/>
    </row>
    <row r="16" spans="1:19" ht="13.8">
      <c r="A16" s="17"/>
      <c r="B16" s="49" t="s">
        <v>4</v>
      </c>
      <c r="C16" s="19"/>
      <c r="D16" s="17"/>
      <c r="E16" s="17"/>
      <c r="F16" s="44"/>
      <c r="G16" s="45"/>
      <c r="H16" s="40"/>
      <c r="I16" s="44"/>
      <c r="J16" s="44"/>
      <c r="K16" s="44"/>
      <c r="L16" s="143"/>
      <c r="M16" s="46"/>
      <c r="N16" s="47"/>
      <c r="O16" s="40"/>
      <c r="P16" s="48"/>
      <c r="Q16" s="19"/>
      <c r="R16" s="50"/>
      <c r="S16" s="50"/>
    </row>
    <row r="17" spans="1:19" ht="13.8">
      <c r="A17" s="17"/>
      <c r="B17" s="51" t="s">
        <v>5</v>
      </c>
      <c r="C17" s="19"/>
      <c r="D17" s="17"/>
      <c r="E17" s="17"/>
      <c r="F17" s="44"/>
      <c r="G17" s="45"/>
      <c r="H17" s="40"/>
      <c r="I17" s="44"/>
      <c r="J17" s="44"/>
      <c r="K17" s="44"/>
      <c r="L17" s="143"/>
      <c r="M17" s="46"/>
      <c r="N17" s="47"/>
      <c r="O17" s="40"/>
      <c r="P17" s="48"/>
      <c r="Q17" s="19"/>
      <c r="R17" s="50"/>
      <c r="S17" s="50"/>
    </row>
    <row r="18" spans="1:19" ht="13.8">
      <c r="A18" s="17"/>
      <c r="B18" s="52" t="s">
        <v>6</v>
      </c>
      <c r="C18" s="27">
        <f>SUM('[2]BAO Roll up'!C40)-'[2]BAO Roll up'!C34</f>
        <v>1304242.5199999996</v>
      </c>
      <c r="D18" s="28"/>
      <c r="E18" s="28"/>
      <c r="F18" s="53">
        <v>1810270</v>
      </c>
      <c r="G18" s="54">
        <f>2229891.93-592437.93</f>
        <v>1637454</v>
      </c>
      <c r="H18" s="40"/>
      <c r="I18" s="53">
        <f>1664066.08-3284.58-458695.17</f>
        <v>1202086.33</v>
      </c>
      <c r="J18" s="138"/>
      <c r="K18" s="53"/>
      <c r="L18" s="46"/>
      <c r="M18" s="46">
        <f>(I18)/22.7*3.5-(67000)</f>
        <v>118343.70726872247</v>
      </c>
      <c r="N18" s="47">
        <f>SUM(I18:M18)</f>
        <v>1320430.0372687224</v>
      </c>
      <c r="O18" s="40"/>
      <c r="P18" s="55">
        <f>+G18-N18</f>
        <v>317023.96273127757</v>
      </c>
      <c r="Q18" s="56"/>
      <c r="R18" s="50"/>
      <c r="S18" s="57"/>
    </row>
    <row r="19" spans="1:19" ht="13.8">
      <c r="A19" s="17"/>
      <c r="B19" s="52" t="s">
        <v>7</v>
      </c>
      <c r="C19" s="27"/>
      <c r="D19" s="28"/>
      <c r="E19" s="28"/>
      <c r="F19" s="53"/>
      <c r="G19" s="54"/>
      <c r="H19" s="40"/>
      <c r="I19" s="53">
        <f>3284.58</f>
        <v>3284.58</v>
      </c>
      <c r="J19" s="53"/>
      <c r="K19" s="53"/>
      <c r="L19" s="46"/>
      <c r="M19" s="46">
        <f>I19/22.7*3.5</f>
        <v>506.43303964757712</v>
      </c>
      <c r="N19" s="47">
        <f>SUM(I19:M19)</f>
        <v>3791.013039647577</v>
      </c>
      <c r="O19" s="40"/>
      <c r="P19" s="55">
        <f>+G19-N19</f>
        <v>-3791.013039647577</v>
      </c>
      <c r="Q19" s="27"/>
      <c r="R19" s="50"/>
      <c r="S19" s="50"/>
    </row>
    <row r="20" spans="1:19" ht="13.8">
      <c r="A20" s="17"/>
      <c r="B20" s="52" t="s">
        <v>8</v>
      </c>
      <c r="C20" s="27"/>
      <c r="D20" s="28"/>
      <c r="E20" s="28"/>
      <c r="F20" s="53">
        <v>633376.93000000005</v>
      </c>
      <c r="G20" s="54">
        <v>592437.93000000005</v>
      </c>
      <c r="H20" s="40"/>
      <c r="I20" s="53">
        <v>458695.17</v>
      </c>
      <c r="J20" s="53"/>
      <c r="K20" s="53"/>
      <c r="L20" s="46"/>
      <c r="M20" s="46">
        <f>(92278.86/2*3.5*0.31)+(10967/2*3.5*1)-(33500*0.31)</f>
        <v>58868.53155</v>
      </c>
      <c r="N20" s="47">
        <f>SUM(I20:M20)</f>
        <v>517563.70155</v>
      </c>
      <c r="O20" s="40"/>
      <c r="P20" s="55">
        <f>+G20-N20</f>
        <v>74874.228450000053</v>
      </c>
      <c r="Q20" s="27"/>
      <c r="R20" s="50"/>
      <c r="S20" s="50"/>
    </row>
    <row r="21" spans="1:19" ht="15.6">
      <c r="A21" s="19"/>
      <c r="B21" s="51" t="s">
        <v>9</v>
      </c>
      <c r="C21" s="27">
        <f>SUM(C18:C19)</f>
        <v>1304242.5199999996</v>
      </c>
      <c r="D21" s="27"/>
      <c r="E21" s="27"/>
      <c r="F21" s="58">
        <f>SUM(F18:F20)</f>
        <v>2443646.9300000002</v>
      </c>
      <c r="G21" s="59">
        <f>SUM(G18:G20)</f>
        <v>2229891.9300000002</v>
      </c>
      <c r="H21" s="60"/>
      <c r="I21" s="58">
        <f>SUM(I18:I20)</f>
        <v>1664066.08</v>
      </c>
      <c r="J21" s="58"/>
      <c r="K21" s="58">
        <f>SUM(K18:K20)</f>
        <v>0</v>
      </c>
      <c r="L21" s="144"/>
      <c r="M21" s="61">
        <f>SUM(M18:M20)</f>
        <v>177718.67185837004</v>
      </c>
      <c r="N21" s="62">
        <f>SUM(N18:N20)</f>
        <v>1841784.7518583699</v>
      </c>
      <c r="O21" s="60"/>
      <c r="P21" s="63">
        <f>SUM(P18:P20)</f>
        <v>388107.17814163002</v>
      </c>
      <c r="Q21" s="56"/>
      <c r="R21" s="50"/>
      <c r="S21" s="50"/>
    </row>
    <row r="22" spans="1:19" ht="13.8">
      <c r="A22" s="17"/>
      <c r="B22" s="26"/>
      <c r="C22" s="27"/>
      <c r="D22" s="28"/>
      <c r="E22" s="28"/>
      <c r="F22" s="64"/>
      <c r="G22" s="65"/>
      <c r="H22" s="40"/>
      <c r="I22" s="64"/>
      <c r="J22" s="64"/>
      <c r="K22" s="64"/>
      <c r="L22" s="145"/>
      <c r="M22" s="66"/>
      <c r="N22" s="67"/>
      <c r="O22" s="40"/>
      <c r="P22" s="68"/>
      <c r="Q22" s="27"/>
      <c r="R22" s="50"/>
      <c r="S22" s="50"/>
    </row>
    <row r="23" spans="1:19" ht="13.8">
      <c r="A23" s="17"/>
      <c r="B23" s="26"/>
      <c r="C23" s="27"/>
      <c r="D23" s="28"/>
      <c r="E23" s="28"/>
      <c r="F23" s="44"/>
      <c r="G23" s="45"/>
      <c r="H23" s="40"/>
      <c r="I23" s="44"/>
      <c r="J23" s="44"/>
      <c r="K23" s="44"/>
      <c r="L23" s="143"/>
      <c r="M23" s="46"/>
      <c r="N23" s="47"/>
      <c r="O23" s="40"/>
      <c r="P23" s="55"/>
      <c r="Q23" s="27"/>
      <c r="R23" s="50"/>
      <c r="S23" s="50"/>
    </row>
    <row r="24" spans="1:19" ht="13.8">
      <c r="A24" s="17"/>
      <c r="B24" s="51" t="s">
        <v>10</v>
      </c>
      <c r="C24" s="27"/>
      <c r="D24" s="28"/>
      <c r="E24" s="28"/>
      <c r="F24" s="44"/>
      <c r="G24" s="45">
        <v>-76913.649999999994</v>
      </c>
      <c r="H24" s="40"/>
      <c r="I24" s="44"/>
      <c r="J24" s="44"/>
      <c r="K24" s="44"/>
      <c r="L24" s="143"/>
      <c r="M24" s="46"/>
      <c r="N24" s="47">
        <f t="shared" ref="N24:N36" si="0">SUM(I24:M24)</f>
        <v>0</v>
      </c>
      <c r="O24" s="40"/>
      <c r="P24" s="55">
        <f t="shared" ref="P24:P41" si="1">+G24-N24</f>
        <v>-76913.649999999994</v>
      </c>
      <c r="Q24" s="27"/>
      <c r="R24" s="50"/>
      <c r="S24" s="50"/>
    </row>
    <row r="25" spans="1:19" ht="13.8">
      <c r="A25" s="17"/>
      <c r="B25" s="69" t="s">
        <v>11</v>
      </c>
      <c r="C25" s="27">
        <f>SUM('[2]BAO Roll up'!C48)</f>
        <v>5654</v>
      </c>
      <c r="D25" s="28"/>
      <c r="E25" s="28"/>
      <c r="F25" s="44"/>
      <c r="G25" s="45"/>
      <c r="H25" s="40"/>
      <c r="I25" s="44"/>
      <c r="J25" s="44"/>
      <c r="K25" s="44"/>
      <c r="L25" s="143"/>
      <c r="M25" s="46"/>
      <c r="N25" s="47">
        <f t="shared" si="0"/>
        <v>0</v>
      </c>
      <c r="O25" s="40"/>
      <c r="P25" s="55">
        <f t="shared" si="1"/>
        <v>0</v>
      </c>
      <c r="Q25" s="27"/>
      <c r="R25" s="50"/>
      <c r="S25" s="50"/>
    </row>
    <row r="26" spans="1:19" ht="13.8">
      <c r="A26" s="17"/>
      <c r="B26" s="69" t="s">
        <v>12</v>
      </c>
      <c r="C26" s="70">
        <f>SUM('[2]BAO Roll up'!C52)</f>
        <v>4025</v>
      </c>
      <c r="D26" s="28"/>
      <c r="E26" s="28"/>
      <c r="F26" s="44"/>
      <c r="G26" s="45"/>
      <c r="H26" s="40"/>
      <c r="I26" s="44"/>
      <c r="J26" s="44"/>
      <c r="K26" s="44"/>
      <c r="L26" s="143"/>
      <c r="M26" s="46"/>
      <c r="N26" s="47">
        <f t="shared" si="0"/>
        <v>0</v>
      </c>
      <c r="O26" s="40"/>
      <c r="P26" s="55">
        <f t="shared" si="1"/>
        <v>0</v>
      </c>
      <c r="Q26" s="27"/>
      <c r="R26" s="50"/>
      <c r="S26" s="50"/>
    </row>
    <row r="27" spans="1:19" ht="13.8">
      <c r="A27" s="17"/>
      <c r="B27" s="69" t="s">
        <v>13</v>
      </c>
      <c r="C27" s="27">
        <f>SUM('[2]BAO Roll up'!C54-'[2]BAO Roll up'!C52)</f>
        <v>105524.93</v>
      </c>
      <c r="D27" s="28"/>
      <c r="E27" s="28"/>
      <c r="F27" s="44">
        <v>50000</v>
      </c>
      <c r="G27" s="45">
        <v>65000</v>
      </c>
      <c r="H27" s="40"/>
      <c r="I27" s="44">
        <f>21164.56</f>
        <v>21164.560000000001</v>
      </c>
      <c r="J27" s="44"/>
      <c r="K27" s="44">
        <v>11028.55</v>
      </c>
      <c r="L27" s="146"/>
      <c r="M27" s="46"/>
      <c r="N27" s="47">
        <f t="shared" si="0"/>
        <v>32193.11</v>
      </c>
      <c r="O27" s="40"/>
      <c r="P27" s="55">
        <f t="shared" si="1"/>
        <v>32806.89</v>
      </c>
      <c r="Q27" s="27"/>
      <c r="R27" s="50"/>
      <c r="S27" s="50"/>
    </row>
    <row r="28" spans="1:19" ht="13.8">
      <c r="A28" s="17"/>
      <c r="B28" s="69" t="s">
        <v>14</v>
      </c>
      <c r="C28" s="27">
        <f>SUM('[2]BAO Roll up'!C59)</f>
        <v>23064.720000000001</v>
      </c>
      <c r="D28" s="28"/>
      <c r="E28" s="28"/>
      <c r="F28" s="44">
        <v>920892</v>
      </c>
      <c r="G28" s="45">
        <v>550000</v>
      </c>
      <c r="H28" s="40"/>
      <c r="I28" s="44">
        <v>455654.08</v>
      </c>
      <c r="J28" s="44"/>
      <c r="K28" s="44">
        <v>311665.34999999998</v>
      </c>
      <c r="L28" s="143"/>
      <c r="M28" s="46"/>
      <c r="N28" s="47">
        <f t="shared" si="0"/>
        <v>767319.42999999993</v>
      </c>
      <c r="O28" s="40"/>
      <c r="P28" s="55">
        <f t="shared" si="1"/>
        <v>-217319.42999999993</v>
      </c>
      <c r="Q28" s="27"/>
      <c r="R28" s="50"/>
      <c r="S28" s="50"/>
    </row>
    <row r="29" spans="1:19" ht="13.8">
      <c r="A29" s="17"/>
      <c r="B29" s="69" t="s">
        <v>15</v>
      </c>
      <c r="C29" s="27"/>
      <c r="D29" s="28"/>
      <c r="E29" s="28"/>
      <c r="F29" s="44"/>
      <c r="G29" s="45"/>
      <c r="H29" s="40"/>
      <c r="I29" s="44"/>
      <c r="J29" s="44"/>
      <c r="K29" s="44"/>
      <c r="L29" s="143"/>
      <c r="M29" s="46"/>
      <c r="N29" s="47">
        <f t="shared" si="0"/>
        <v>0</v>
      </c>
      <c r="O29" s="40"/>
      <c r="P29" s="55">
        <f t="shared" si="1"/>
        <v>0</v>
      </c>
      <c r="Q29" s="27"/>
      <c r="R29" s="50"/>
      <c r="S29" s="50"/>
    </row>
    <row r="30" spans="1:19" ht="13.8">
      <c r="A30" s="17"/>
      <c r="B30" s="71" t="s">
        <v>16</v>
      </c>
      <c r="C30" s="27">
        <f>SUM('[2]BAO Roll up'!C73)</f>
        <v>349749.84000000008</v>
      </c>
      <c r="D30" s="28"/>
      <c r="E30" s="28"/>
      <c r="F30" s="44">
        <v>0</v>
      </c>
      <c r="G30" s="45">
        <v>19691.150000000001</v>
      </c>
      <c r="H30" s="40"/>
      <c r="I30" s="44">
        <v>11517.17</v>
      </c>
      <c r="J30" s="139"/>
      <c r="K30" s="44">
        <v>4215.43</v>
      </c>
      <c r="L30" s="149"/>
      <c r="M30" s="46"/>
      <c r="N30" s="47">
        <f t="shared" si="0"/>
        <v>15732.6</v>
      </c>
      <c r="O30" s="40"/>
      <c r="P30" s="55">
        <f t="shared" si="1"/>
        <v>3958.5500000000011</v>
      </c>
      <c r="Q30" s="56"/>
    </row>
    <row r="31" spans="1:19" ht="13.8">
      <c r="A31" s="17"/>
      <c r="B31" s="71" t="s">
        <v>17</v>
      </c>
      <c r="C31" s="27"/>
      <c r="D31" s="28"/>
      <c r="E31" s="28"/>
      <c r="F31" s="44"/>
      <c r="G31" s="45"/>
      <c r="H31" s="40"/>
      <c r="I31" s="44"/>
      <c r="J31" s="44"/>
      <c r="K31" s="44"/>
      <c r="L31" s="143"/>
      <c r="M31" s="46"/>
      <c r="N31" s="47">
        <f t="shared" si="0"/>
        <v>0</v>
      </c>
      <c r="O31" s="40"/>
      <c r="P31" s="55">
        <f t="shared" si="1"/>
        <v>0</v>
      </c>
      <c r="Q31" s="27"/>
    </row>
    <row r="32" spans="1:19" ht="13.8">
      <c r="A32" s="17"/>
      <c r="B32" s="69" t="s">
        <v>18</v>
      </c>
      <c r="C32" s="72">
        <f>SUM('[2]BAO Roll up'!C77)</f>
        <v>1798</v>
      </c>
      <c r="D32" s="28"/>
      <c r="E32" s="28"/>
      <c r="F32" s="44">
        <v>15000</v>
      </c>
      <c r="G32" s="45">
        <v>5000</v>
      </c>
      <c r="H32" s="40"/>
      <c r="I32" s="44"/>
      <c r="J32" s="139"/>
      <c r="K32" s="44"/>
      <c r="L32" s="143"/>
      <c r="M32" s="46"/>
      <c r="N32" s="47">
        <f t="shared" si="0"/>
        <v>0</v>
      </c>
      <c r="O32" s="40"/>
      <c r="P32" s="55">
        <f t="shared" si="1"/>
        <v>5000</v>
      </c>
      <c r="Q32" s="56"/>
      <c r="R32" s="50"/>
      <c r="S32" s="50"/>
    </row>
    <row r="33" spans="1:21" ht="13.8">
      <c r="A33" s="17"/>
      <c r="B33" s="69" t="s">
        <v>19</v>
      </c>
      <c r="C33" s="27">
        <f>SUM('[2]BAO Roll up'!C83)</f>
        <v>38049.379999999997</v>
      </c>
      <c r="D33" s="28"/>
      <c r="E33" s="28"/>
      <c r="F33" s="44">
        <v>4500</v>
      </c>
      <c r="G33" s="45">
        <v>55000</v>
      </c>
      <c r="H33" s="40"/>
      <c r="I33" s="44">
        <v>81610.3</v>
      </c>
      <c r="J33" s="139"/>
      <c r="K33" s="44">
        <v>13652.2</v>
      </c>
      <c r="L33" s="146"/>
      <c r="M33" s="46"/>
      <c r="N33" s="47">
        <f t="shared" si="0"/>
        <v>95262.5</v>
      </c>
      <c r="O33" s="40"/>
      <c r="P33" s="55">
        <f t="shared" si="1"/>
        <v>-40262.5</v>
      </c>
      <c r="Q33" s="56"/>
      <c r="R33" s="73"/>
      <c r="S33" s="50"/>
    </row>
    <row r="34" spans="1:21" ht="13.8">
      <c r="A34" s="17"/>
      <c r="B34" s="69" t="s">
        <v>20</v>
      </c>
      <c r="C34" s="27">
        <f>SUM('[2]BAO Roll up'!C91)</f>
        <v>1068019.08</v>
      </c>
      <c r="D34" s="28"/>
      <c r="E34" s="28"/>
      <c r="F34" s="44">
        <v>438132</v>
      </c>
      <c r="G34" s="45">
        <v>12500</v>
      </c>
      <c r="H34" s="40"/>
      <c r="I34" s="44">
        <v>1841.9</v>
      </c>
      <c r="J34" s="44"/>
      <c r="K34" s="44"/>
      <c r="L34" s="143"/>
      <c r="M34" s="46"/>
      <c r="N34" s="47">
        <f t="shared" si="0"/>
        <v>1841.9</v>
      </c>
      <c r="O34" s="40"/>
      <c r="P34" s="55">
        <f t="shared" si="1"/>
        <v>10658.1</v>
      </c>
      <c r="Q34" s="27"/>
      <c r="R34" s="50"/>
      <c r="S34" s="57"/>
    </row>
    <row r="35" spans="1:21" ht="13.8">
      <c r="A35" s="17"/>
      <c r="B35" s="74" t="s">
        <v>21</v>
      </c>
      <c r="C35" s="27">
        <f>SUM('[2]BAO Roll up'!C100)</f>
        <v>88143.98</v>
      </c>
      <c r="D35" s="28"/>
      <c r="E35" s="28"/>
      <c r="F35" s="44">
        <v>930368</v>
      </c>
      <c r="G35" s="45">
        <f>20000+15000</f>
        <v>35000</v>
      </c>
      <c r="H35" s="40"/>
      <c r="I35" s="44">
        <f>4867.6+8899</f>
        <v>13766.6</v>
      </c>
      <c r="J35" s="44"/>
      <c r="K35" s="44">
        <f>4108+2195</f>
        <v>6303</v>
      </c>
      <c r="L35" s="143"/>
      <c r="M35" s="46"/>
      <c r="N35" s="47">
        <f t="shared" si="0"/>
        <v>20069.599999999999</v>
      </c>
      <c r="O35" s="40"/>
      <c r="P35" s="55">
        <f t="shared" si="1"/>
        <v>14930.400000000001</v>
      </c>
      <c r="Q35" s="27"/>
      <c r="R35" s="50"/>
      <c r="S35" s="50"/>
    </row>
    <row r="36" spans="1:21" ht="13.8">
      <c r="A36" s="75"/>
      <c r="B36" s="74" t="s">
        <v>22</v>
      </c>
      <c r="C36" s="76">
        <f>SUM('[2]BAO Roll up'!C101)</f>
        <v>-1295212.74</v>
      </c>
      <c r="D36" s="77"/>
      <c r="E36" s="77"/>
      <c r="F36" s="78">
        <v>-4802538.93</v>
      </c>
      <c r="G36" s="79">
        <v>-2818978.28</v>
      </c>
      <c r="H36" s="40"/>
      <c r="I36" s="78">
        <v>-2174203.44</v>
      </c>
      <c r="J36" s="78"/>
      <c r="K36" s="78"/>
      <c r="L36" s="46"/>
      <c r="M36" s="46">
        <f>-(177719+75417)</f>
        <v>-253136</v>
      </c>
      <c r="N36" s="47">
        <f t="shared" si="0"/>
        <v>-2427339.44</v>
      </c>
      <c r="O36" s="40"/>
      <c r="P36" s="55">
        <f t="shared" si="1"/>
        <v>-391638.83999999985</v>
      </c>
      <c r="Q36" s="27"/>
      <c r="R36" s="50">
        <f>I36+N21</f>
        <v>-332418.68814163003</v>
      </c>
      <c r="S36" s="50"/>
    </row>
    <row r="37" spans="1:21" ht="13.8">
      <c r="A37" s="75"/>
      <c r="B37" s="80" t="s">
        <v>23</v>
      </c>
      <c r="C37" s="81">
        <f>SUM(C25:C36)</f>
        <v>388816.19000000018</v>
      </c>
      <c r="D37" s="77"/>
      <c r="E37" s="77"/>
      <c r="F37" s="82">
        <f>SUM(F24:F36)</f>
        <v>-2443646.9299999997</v>
      </c>
      <c r="G37" s="83">
        <f>SUM(G24:G36)</f>
        <v>-2153700.7799999998</v>
      </c>
      <c r="H37" s="40"/>
      <c r="I37" s="82">
        <f>SUM(I24:I36)</f>
        <v>-1588648.83</v>
      </c>
      <c r="J37" s="82"/>
      <c r="K37" s="82">
        <f>SUM(K24:K36)</f>
        <v>346864.52999999997</v>
      </c>
      <c r="L37" s="84"/>
      <c r="M37" s="84">
        <f>SUM(M24:M36)</f>
        <v>-253136</v>
      </c>
      <c r="N37" s="167">
        <f>SUM(N24:N36)</f>
        <v>-1494920.3</v>
      </c>
      <c r="O37" s="40"/>
      <c r="P37" s="68">
        <f t="shared" si="1"/>
        <v>-658780.47999999975</v>
      </c>
      <c r="Q37" s="81"/>
      <c r="R37" s="50"/>
      <c r="S37" s="50"/>
    </row>
    <row r="38" spans="1:21" ht="15.6">
      <c r="A38" s="75"/>
      <c r="B38" s="85" t="s">
        <v>24</v>
      </c>
      <c r="C38" s="86">
        <f>C21+C37</f>
        <v>1693058.7099999997</v>
      </c>
      <c r="D38" s="77"/>
      <c r="E38" s="77"/>
      <c r="F38" s="87">
        <f>F21+F37</f>
        <v>0</v>
      </c>
      <c r="G38" s="88">
        <f>G21+G37</f>
        <v>76191.150000000373</v>
      </c>
      <c r="H38" s="60"/>
      <c r="I38" s="87">
        <f>I21+I37</f>
        <v>75417.25</v>
      </c>
      <c r="J38" s="87"/>
      <c r="K38" s="87">
        <f>K21+K37</f>
        <v>346864.52999999997</v>
      </c>
      <c r="L38" s="147"/>
      <c r="M38" s="89">
        <f>M21+M37</f>
        <v>-75417.328141629958</v>
      </c>
      <c r="N38" s="47">
        <f>N21+N37</f>
        <v>346864.45185836987</v>
      </c>
      <c r="O38" s="60"/>
      <c r="P38" s="55">
        <f t="shared" si="1"/>
        <v>-270673.30185836949</v>
      </c>
      <c r="Q38" s="77"/>
      <c r="R38" s="50"/>
      <c r="S38" s="50"/>
    </row>
    <row r="39" spans="1:21" ht="13.8">
      <c r="A39" s="75"/>
      <c r="B39" s="90" t="s">
        <v>35</v>
      </c>
      <c r="C39" s="77"/>
      <c r="D39" s="77"/>
      <c r="E39" s="77"/>
      <c r="F39" s="91"/>
      <c r="G39" s="92"/>
      <c r="H39" s="40"/>
      <c r="I39" s="91"/>
      <c r="J39" s="91"/>
      <c r="K39" s="91">
        <v>-346865</v>
      </c>
      <c r="L39" s="93"/>
      <c r="M39" s="93"/>
      <c r="N39" s="47">
        <f>SUM(I39:M39)</f>
        <v>-346865</v>
      </c>
      <c r="O39" s="40"/>
      <c r="P39" s="55">
        <f t="shared" si="1"/>
        <v>346865</v>
      </c>
      <c r="Q39" s="77"/>
      <c r="R39" s="50"/>
      <c r="S39" s="50"/>
    </row>
    <row r="40" spans="1:21" ht="14.4" thickBot="1">
      <c r="A40" s="75"/>
      <c r="B40" s="51" t="s">
        <v>25</v>
      </c>
      <c r="C40" s="77"/>
      <c r="D40" s="77"/>
      <c r="E40" s="77"/>
      <c r="F40" s="94">
        <v>0</v>
      </c>
      <c r="G40" s="95">
        <v>0</v>
      </c>
      <c r="H40" s="40"/>
      <c r="I40" s="94">
        <v>0</v>
      </c>
      <c r="J40" s="94"/>
      <c r="K40" s="155"/>
      <c r="L40" s="148"/>
      <c r="M40" s="96">
        <v>0</v>
      </c>
      <c r="N40" s="163">
        <f>SUM(I40:M40)</f>
        <v>0</v>
      </c>
      <c r="O40" s="40"/>
      <c r="P40" s="55">
        <f t="shared" si="1"/>
        <v>0</v>
      </c>
      <c r="Q40" s="37"/>
      <c r="R40" s="50"/>
      <c r="S40" s="50"/>
    </row>
    <row r="41" spans="1:21" ht="19.95" customHeight="1" thickBot="1">
      <c r="A41" s="17"/>
      <c r="B41" s="85" t="s">
        <v>26</v>
      </c>
      <c r="C41" s="97">
        <f>C14+C38</f>
        <v>1614681.1699999997</v>
      </c>
      <c r="D41" s="28"/>
      <c r="E41" s="28"/>
      <c r="F41" s="98">
        <f>F14+F38+F40</f>
        <v>0</v>
      </c>
      <c r="G41" s="99">
        <f>G14+G38+G40</f>
        <v>76191.150000000373</v>
      </c>
      <c r="H41" s="100"/>
      <c r="I41" s="101">
        <f>I14+I38+I40+I39</f>
        <v>75417.25</v>
      </c>
      <c r="J41" s="101"/>
      <c r="K41" s="160">
        <f>K14+K38+K40+K39</f>
        <v>-0.47000000003026798</v>
      </c>
      <c r="L41" s="161"/>
      <c r="M41" s="164">
        <f>M14+M38+M40+M39</f>
        <v>-75417.328141629958</v>
      </c>
      <c r="N41" s="165">
        <f t="shared" ref="N41" si="2">SUM(I41:M41)</f>
        <v>-0.54814162998809479</v>
      </c>
      <c r="O41" s="100"/>
      <c r="P41" s="55">
        <f t="shared" si="1"/>
        <v>76191.698141630361</v>
      </c>
      <c r="Q41" s="102"/>
      <c r="R41" s="50"/>
      <c r="S41" s="50"/>
    </row>
    <row r="42" spans="1:21" ht="19.2" thickTop="1" thickBot="1">
      <c r="A42" s="17"/>
      <c r="B42" s="26"/>
      <c r="C42" s="19"/>
      <c r="D42" s="17"/>
      <c r="E42" s="17"/>
      <c r="F42" s="103"/>
      <c r="G42" s="104"/>
      <c r="H42"/>
      <c r="I42" s="105"/>
      <c r="J42" s="105"/>
      <c r="K42" s="105"/>
      <c r="L42" s="106"/>
      <c r="M42" s="106"/>
      <c r="N42" s="104"/>
      <c r="O42"/>
      <c r="P42" s="107">
        <f>+P41/G41</f>
        <v>1.0000071942952691</v>
      </c>
      <c r="Q42" s="19"/>
      <c r="R42" s="50"/>
      <c r="S42" s="50"/>
    </row>
    <row r="43" spans="1:21" ht="42.6" thickBot="1">
      <c r="A43" s="108"/>
      <c r="B43" s="109"/>
      <c r="C43" s="109"/>
      <c r="D43" s="109"/>
      <c r="E43" s="109"/>
      <c r="F43" s="110"/>
      <c r="G43" s="156"/>
      <c r="H43" s="111"/>
      <c r="I43" s="112"/>
      <c r="J43" s="112"/>
      <c r="K43" s="112"/>
      <c r="L43" s="112"/>
      <c r="M43" s="157"/>
      <c r="N43" s="157"/>
      <c r="O43"/>
      <c r="P43" s="114" t="s">
        <v>27</v>
      </c>
      <c r="Q43" s="113"/>
    </row>
    <row r="44" spans="1:21" ht="15.6">
      <c r="A44" s="115" t="s">
        <v>28</v>
      </c>
      <c r="B44" s="116"/>
      <c r="C44" s="117"/>
      <c r="D44" s="117"/>
      <c r="E44" s="117"/>
      <c r="F44" s="118"/>
      <c r="G44" s="119"/>
      <c r="H44" s="119"/>
      <c r="I44" s="120"/>
      <c r="J44" s="120"/>
      <c r="K44" s="162"/>
      <c r="L44" s="120"/>
      <c r="M44" s="120"/>
      <c r="N44" s="120"/>
      <c r="O44"/>
      <c r="P44" s="120"/>
      <c r="Q44" s="120"/>
      <c r="R44" s="120"/>
      <c r="S44" s="120"/>
      <c r="T44" s="120"/>
      <c r="U44" s="120"/>
    </row>
    <row r="45" spans="1:21" ht="36.6" customHeight="1">
      <c r="A45" s="121"/>
      <c r="B45" s="169" t="s">
        <v>44</v>
      </c>
      <c r="C45" s="169"/>
      <c r="D45" s="169"/>
      <c r="E45" s="169"/>
      <c r="F45" s="169"/>
      <c r="G45" s="169"/>
      <c r="H45" s="169"/>
      <c r="I45" s="169"/>
      <c r="J45" s="169"/>
      <c r="K45" s="169"/>
      <c r="L45" s="169"/>
      <c r="M45" s="169"/>
      <c r="N45" s="169"/>
      <c r="O45" s="169"/>
      <c r="P45" s="169"/>
      <c r="Q45" s="120"/>
      <c r="R45" s="120"/>
      <c r="S45" s="120"/>
      <c r="T45" s="120"/>
      <c r="U45" s="120"/>
    </row>
    <row r="46" spans="1:21" ht="36" customHeight="1">
      <c r="A46" s="121"/>
      <c r="B46" s="168" t="s">
        <v>41</v>
      </c>
      <c r="C46" s="168"/>
      <c r="D46" s="168"/>
      <c r="E46" s="168"/>
      <c r="F46" s="168"/>
      <c r="G46" s="168"/>
      <c r="H46" s="168"/>
      <c r="I46" s="168"/>
      <c r="J46" s="168"/>
      <c r="K46" s="168"/>
      <c r="L46" s="168"/>
      <c r="M46" s="168"/>
      <c r="N46" s="168"/>
      <c r="O46" s="168"/>
      <c r="P46" s="168"/>
      <c r="Q46" s="120"/>
      <c r="R46" s="120"/>
      <c r="S46" s="120"/>
      <c r="T46" s="120"/>
      <c r="U46" s="120"/>
    </row>
    <row r="47" spans="1:21" ht="15.6" hidden="1">
      <c r="A47" s="121"/>
      <c r="B47" s="168"/>
      <c r="C47" s="168"/>
      <c r="D47" s="168"/>
      <c r="E47" s="168"/>
      <c r="F47" s="168"/>
      <c r="G47" s="168"/>
      <c r="H47" s="168"/>
      <c r="I47" s="168"/>
      <c r="J47" s="168"/>
      <c r="K47" s="168"/>
      <c r="L47" s="168"/>
      <c r="M47" s="168"/>
      <c r="N47" s="168"/>
      <c r="O47" s="168"/>
      <c r="P47" s="168"/>
      <c r="Q47" s="120"/>
      <c r="R47" s="120"/>
      <c r="S47" s="120"/>
      <c r="T47" s="120"/>
      <c r="U47" s="120"/>
    </row>
    <row r="48" spans="1:21" ht="15.6">
      <c r="A48" s="108"/>
      <c r="B48" s="109"/>
      <c r="C48" s="122"/>
      <c r="D48" s="109"/>
      <c r="E48" s="109"/>
      <c r="F48" s="123"/>
      <c r="O48"/>
    </row>
    <row r="49" spans="1:17" ht="15.6">
      <c r="A49" s="108"/>
      <c r="B49" s="109"/>
      <c r="C49" s="122"/>
      <c r="D49" s="109"/>
      <c r="E49" s="109"/>
      <c r="F49" s="123"/>
      <c r="O49"/>
    </row>
    <row r="50" spans="1:17" ht="15.6">
      <c r="A50" s="108"/>
      <c r="B50" s="109"/>
      <c r="C50" s="125"/>
      <c r="D50" s="109"/>
      <c r="E50" s="109"/>
      <c r="F50" s="123"/>
      <c r="O50"/>
    </row>
    <row r="51" spans="1:17" ht="15.6">
      <c r="A51" s="108"/>
      <c r="B51" s="109"/>
      <c r="C51" s="122"/>
      <c r="D51" s="109"/>
      <c r="E51" s="109"/>
      <c r="F51" s="123"/>
      <c r="O51"/>
    </row>
    <row r="52" spans="1:17" ht="15.6">
      <c r="A52" s="108"/>
      <c r="B52" s="109"/>
      <c r="C52" s="125"/>
      <c r="D52" s="109"/>
      <c r="E52" s="109"/>
      <c r="F52" s="123"/>
      <c r="O52"/>
    </row>
    <row r="53" spans="1:17" ht="15.6">
      <c r="A53" s="108"/>
      <c r="B53" s="109"/>
      <c r="C53" s="109"/>
      <c r="D53" s="109"/>
      <c r="E53" s="109"/>
      <c r="F53" s="123"/>
      <c r="O53"/>
    </row>
    <row r="54" spans="1:17" ht="15.6">
      <c r="A54" s="126"/>
      <c r="B54" s="127"/>
      <c r="C54" s="127"/>
      <c r="D54" s="127"/>
      <c r="E54" s="127"/>
      <c r="F54" s="123"/>
      <c r="G54" s="128"/>
      <c r="H54" s="128"/>
      <c r="I54" s="129"/>
      <c r="J54" s="129"/>
      <c r="K54" s="129"/>
      <c r="L54" s="129"/>
      <c r="M54" s="129"/>
      <c r="N54" s="129"/>
      <c r="O54"/>
      <c r="P54" s="129"/>
      <c r="Q54" s="129"/>
    </row>
    <row r="55" spans="1:17" ht="15.6">
      <c r="A55" s="126"/>
      <c r="B55" s="127"/>
      <c r="C55" s="127"/>
      <c r="D55" s="127"/>
      <c r="E55" s="127"/>
      <c r="F55" s="153"/>
      <c r="G55" s="128"/>
      <c r="H55" s="128"/>
      <c r="I55" s="129"/>
      <c r="J55" s="129"/>
      <c r="K55" s="129"/>
      <c r="L55" s="129"/>
      <c r="M55" s="129"/>
      <c r="N55" s="129"/>
      <c r="O55"/>
      <c r="P55" s="129"/>
      <c r="Q55" s="129"/>
    </row>
    <row r="56" spans="1:17" ht="15.6">
      <c r="A56" s="126"/>
      <c r="B56" s="127"/>
      <c r="C56" s="127"/>
      <c r="D56" s="127"/>
      <c r="E56" s="127"/>
      <c r="F56" s="153"/>
      <c r="G56" s="128"/>
      <c r="H56" s="128"/>
      <c r="I56" s="129"/>
      <c r="J56" s="129"/>
      <c r="K56" s="129"/>
      <c r="L56" s="129"/>
      <c r="M56" s="129"/>
      <c r="N56" s="129"/>
      <c r="O56"/>
      <c r="P56" s="129"/>
      <c r="Q56" s="129"/>
    </row>
    <row r="57" spans="1:17" ht="15.6">
      <c r="A57" s="126"/>
      <c r="B57" s="127"/>
      <c r="C57" s="130"/>
      <c r="D57" s="127"/>
      <c r="E57" s="127"/>
      <c r="F57" s="153"/>
      <c r="G57" s="128"/>
      <c r="H57" s="128"/>
      <c r="I57" s="129"/>
      <c r="J57" s="129"/>
      <c r="K57" s="129"/>
      <c r="L57" s="129"/>
      <c r="M57" s="129"/>
      <c r="N57" s="129"/>
      <c r="O57"/>
      <c r="P57" s="129"/>
      <c r="Q57" s="129"/>
    </row>
    <row r="58" spans="1:17" ht="15">
      <c r="A58" s="131"/>
      <c r="B58" s="132"/>
      <c r="C58" s="132"/>
      <c r="D58" s="132"/>
      <c r="E58" s="132"/>
      <c r="F58" s="154"/>
      <c r="O58"/>
    </row>
    <row r="59" spans="1:17" ht="15.6">
      <c r="A59" s="131"/>
      <c r="B59" s="132"/>
      <c r="C59" s="134"/>
      <c r="D59" s="132"/>
      <c r="E59" s="132"/>
      <c r="F59" s="154"/>
      <c r="O59"/>
    </row>
    <row r="60" spans="1:17" ht="15">
      <c r="A60" s="131"/>
      <c r="B60" s="132"/>
      <c r="C60" s="132"/>
      <c r="D60" s="132"/>
      <c r="E60" s="132"/>
      <c r="F60" s="133"/>
      <c r="O60"/>
    </row>
    <row r="61" spans="1:17" ht="15">
      <c r="A61" s="131"/>
      <c r="B61" s="132"/>
      <c r="C61" s="132"/>
      <c r="D61" s="132"/>
      <c r="E61" s="132"/>
      <c r="F61" s="133"/>
      <c r="O61"/>
    </row>
    <row r="62" spans="1:17">
      <c r="O62"/>
    </row>
    <row r="63" spans="1:17">
      <c r="O63"/>
    </row>
    <row r="64" spans="1:17">
      <c r="O64"/>
    </row>
    <row r="65" spans="15:15">
      <c r="O65"/>
    </row>
    <row r="66" spans="15:15">
      <c r="O66"/>
    </row>
    <row r="67" spans="15:15">
      <c r="O67"/>
    </row>
    <row r="68" spans="15:15">
      <c r="O68"/>
    </row>
    <row r="69" spans="15:15">
      <c r="O69"/>
    </row>
    <row r="70" spans="15:15">
      <c r="O70"/>
    </row>
    <row r="71" spans="15:15">
      <c r="O71"/>
    </row>
    <row r="72" spans="15:15">
      <c r="O72"/>
    </row>
    <row r="73" spans="15:15">
      <c r="O73"/>
    </row>
    <row r="74" spans="15:15">
      <c r="O74"/>
    </row>
  </sheetData>
  <mergeCells count="13">
    <mergeCell ref="B46:P47"/>
    <mergeCell ref="B45:P45"/>
    <mergeCell ref="P8:P10"/>
    <mergeCell ref="A3:P3"/>
    <mergeCell ref="A4:P4"/>
    <mergeCell ref="A5:P5"/>
    <mergeCell ref="C8:C10"/>
    <mergeCell ref="F8:F10"/>
    <mergeCell ref="G8:G10"/>
    <mergeCell ref="I8:I10"/>
    <mergeCell ref="K8:K10"/>
    <mergeCell ref="M8:M10"/>
    <mergeCell ref="N8:N10"/>
  </mergeCells>
  <conditionalFormatting sqref="P13:P34">
    <cfRule type="colorScale" priority="3">
      <colorScale>
        <cfvo type="num" val="-1"/>
        <cfvo type="num" val="0"/>
        <color rgb="FFFF0000"/>
        <color rgb="FF92D050"/>
      </colorScale>
    </cfRule>
  </conditionalFormatting>
  <conditionalFormatting sqref="P35:P41">
    <cfRule type="colorScale" priority="1">
      <colorScale>
        <cfvo type="num" val="-1"/>
        <cfvo type="num" val="0"/>
        <color rgb="FFFF0000"/>
        <color rgb="FF92D050"/>
      </colorScale>
    </cfRule>
  </conditionalFormatting>
  <printOptions horizontalCentered="1"/>
  <pageMargins left="0" right="0" top="0.4" bottom="0.5" header="0.3" footer="0.3"/>
  <pageSetup scale="75" orientation="landscape" r:id="rId1"/>
  <headerFooter>
    <oddFooter>&amp;L&amp;Z&amp;F&amp;R&amp;D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1"/>
  <sheetViews>
    <sheetView workbookViewId="0">
      <selection activeCell="B18" sqref="B18"/>
    </sheetView>
  </sheetViews>
  <sheetFormatPr defaultRowHeight="13.2"/>
  <cols>
    <col min="1" max="1" width="41.88671875" style="6" customWidth="1"/>
    <col min="2" max="2" width="16.88671875" customWidth="1"/>
    <col min="3" max="3" width="15.109375" customWidth="1"/>
    <col min="4" max="4" width="12.109375" customWidth="1"/>
  </cols>
  <sheetData>
    <row r="1" spans="1:4" ht="13.8">
      <c r="A1" s="2"/>
    </row>
    <row r="2" spans="1:4" ht="13.8">
      <c r="A2" s="2"/>
    </row>
    <row r="3" spans="1:4">
      <c r="A3"/>
    </row>
    <row r="4" spans="1:4">
      <c r="A4"/>
    </row>
    <row r="5" spans="1:4">
      <c r="A5"/>
    </row>
    <row r="6" spans="1:4">
      <c r="A6" s="7"/>
    </row>
    <row r="7" spans="1:4" ht="13.8" thickBot="1">
      <c r="A7" s="7"/>
    </row>
    <row r="8" spans="1:4" ht="13.8">
      <c r="A8" s="9"/>
      <c r="B8" s="184" t="s">
        <v>38</v>
      </c>
      <c r="C8" s="184" t="s">
        <v>37</v>
      </c>
      <c r="D8" t="s">
        <v>39</v>
      </c>
    </row>
    <row r="9" spans="1:4" ht="13.8" customHeight="1">
      <c r="A9" s="9"/>
      <c r="B9" s="185"/>
      <c r="C9" s="185"/>
    </row>
    <row r="10" spans="1:4" ht="14.4" thickBot="1">
      <c r="A10" s="9"/>
      <c r="B10" s="186"/>
      <c r="C10" s="186"/>
    </row>
    <row r="11" spans="1:4" ht="13.8">
      <c r="A11" s="9"/>
    </row>
    <row r="12" spans="1:4" ht="13.8">
      <c r="A12" s="18" t="s">
        <v>1</v>
      </c>
    </row>
    <row r="13" spans="1:4" ht="13.8">
      <c r="A13" s="26" t="s">
        <v>2</v>
      </c>
      <c r="B13" s="29"/>
      <c r="C13" s="29"/>
    </row>
    <row r="14" spans="1:4" ht="13.8">
      <c r="A14" s="35" t="s">
        <v>3</v>
      </c>
      <c r="B14" s="38">
        <f>SUM(B13)</f>
        <v>0</v>
      </c>
      <c r="C14" s="38">
        <f>SUM(C13)</f>
        <v>0</v>
      </c>
    </row>
    <row r="15" spans="1:4" ht="13.8">
      <c r="A15" s="26"/>
      <c r="B15" s="44"/>
      <c r="C15" s="44"/>
    </row>
    <row r="16" spans="1:4" ht="13.8">
      <c r="A16" s="49" t="s">
        <v>4</v>
      </c>
      <c r="B16" s="44"/>
      <c r="C16" s="44"/>
    </row>
    <row r="17" spans="1:5" ht="13.8">
      <c r="A17" s="51" t="s">
        <v>5</v>
      </c>
      <c r="B17" s="44"/>
      <c r="C17" s="44"/>
    </row>
    <row r="18" spans="1:5" ht="13.8">
      <c r="A18" s="52" t="s">
        <v>6</v>
      </c>
      <c r="B18" s="53">
        <f>1035844.41-289877.68-1543.5</f>
        <v>744423.23</v>
      </c>
      <c r="C18" s="53">
        <f>745327.08+94006.44+12652.96</f>
        <v>851986.48</v>
      </c>
      <c r="D18" s="40">
        <f>C18-B18</f>
        <v>107563.25</v>
      </c>
      <c r="E18" s="166">
        <f>(C18/B18)-1</f>
        <v>0.14449206535373693</v>
      </c>
    </row>
    <row r="19" spans="1:5" ht="13.8">
      <c r="A19" s="52" t="s">
        <v>7</v>
      </c>
      <c r="B19" s="53">
        <v>1543.5</v>
      </c>
      <c r="C19" s="53">
        <v>1715.97</v>
      </c>
      <c r="D19" s="40">
        <f t="shared" ref="D19:D20" si="0">C19-B19</f>
        <v>172.47000000000003</v>
      </c>
      <c r="E19" s="166">
        <f t="shared" ref="E19:E21" si="1">(C19/B19)-1</f>
        <v>0.11173955296404281</v>
      </c>
    </row>
    <row r="20" spans="1:5" ht="13.8">
      <c r="A20" s="52" t="s">
        <v>8</v>
      </c>
      <c r="B20" s="53">
        <v>289877.68</v>
      </c>
      <c r="C20" s="53">
        <v>327911.21000000002</v>
      </c>
      <c r="D20" s="40">
        <f t="shared" si="0"/>
        <v>38033.530000000028</v>
      </c>
      <c r="E20" s="166">
        <f t="shared" si="1"/>
        <v>0.13120544500011189</v>
      </c>
    </row>
    <row r="21" spans="1:5" ht="15.6">
      <c r="A21" s="51" t="s">
        <v>9</v>
      </c>
      <c r="B21" s="58">
        <f>SUM(B18:B20)</f>
        <v>1035844.4099999999</v>
      </c>
      <c r="C21" s="58">
        <f>SUM(C18:C20)</f>
        <v>1181613.6599999999</v>
      </c>
      <c r="D21" s="40">
        <f>C21-B21</f>
        <v>145769.25</v>
      </c>
      <c r="E21" s="166">
        <f t="shared" si="1"/>
        <v>0.14072504383163098</v>
      </c>
    </row>
    <row r="22" spans="1:5" ht="13.8">
      <c r="A22" s="26"/>
      <c r="B22" s="64"/>
      <c r="C22" s="64"/>
      <c r="E22" s="166"/>
    </row>
    <row r="23" spans="1:5" ht="13.8">
      <c r="A23" s="26"/>
      <c r="B23" s="44"/>
      <c r="C23" s="44"/>
      <c r="E23" s="166"/>
    </row>
    <row r="24" spans="1:5" ht="13.8">
      <c r="A24" s="51" t="s">
        <v>10</v>
      </c>
      <c r="B24" s="44"/>
      <c r="C24" s="44"/>
      <c r="E24" s="166"/>
    </row>
    <row r="25" spans="1:5" ht="13.8">
      <c r="A25" s="69" t="s">
        <v>11</v>
      </c>
      <c r="B25" s="44"/>
      <c r="C25" s="44"/>
      <c r="E25" s="166"/>
    </row>
    <row r="26" spans="1:5" ht="13.8">
      <c r="A26" s="69" t="s">
        <v>12</v>
      </c>
      <c r="B26" s="44"/>
      <c r="C26" s="44"/>
      <c r="E26" s="166"/>
    </row>
    <row r="27" spans="1:5" ht="13.8">
      <c r="A27" s="69" t="s">
        <v>13</v>
      </c>
      <c r="B27" s="44">
        <v>5768.19</v>
      </c>
      <c r="C27" s="44">
        <v>18319.560000000001</v>
      </c>
      <c r="D27" s="40">
        <f t="shared" ref="D27:D41" si="2">C27-B27</f>
        <v>12551.370000000003</v>
      </c>
      <c r="E27" s="166">
        <f t="shared" ref="E27:E28" si="3">(C27/B27)-1</f>
        <v>2.1759633437872195</v>
      </c>
    </row>
    <row r="28" spans="1:5" ht="13.8">
      <c r="A28" s="69" t="s">
        <v>14</v>
      </c>
      <c r="B28" s="44">
        <v>266933.34000000003</v>
      </c>
      <c r="C28" s="44">
        <v>373463.86</v>
      </c>
      <c r="D28" s="40">
        <f t="shared" si="2"/>
        <v>106530.51999999996</v>
      </c>
      <c r="E28" s="166">
        <f t="shared" si="3"/>
        <v>0.399090349673068</v>
      </c>
    </row>
    <row r="29" spans="1:5" ht="13.8">
      <c r="A29" s="69" t="s">
        <v>15</v>
      </c>
      <c r="B29" s="44"/>
      <c r="C29" s="44"/>
      <c r="D29" s="40"/>
      <c r="E29" s="166"/>
    </row>
    <row r="30" spans="1:5" ht="13.8">
      <c r="A30" s="71" t="s">
        <v>16</v>
      </c>
      <c r="B30" s="44">
        <v>9057.6</v>
      </c>
      <c r="C30" s="44">
        <v>9745.36</v>
      </c>
      <c r="D30" s="40">
        <f t="shared" si="2"/>
        <v>687.76000000000022</v>
      </c>
      <c r="E30" s="166">
        <f>(C30/B30)-1</f>
        <v>7.5931814167108369E-2</v>
      </c>
    </row>
    <row r="31" spans="1:5" ht="13.8">
      <c r="A31" s="71" t="s">
        <v>17</v>
      </c>
      <c r="B31" s="44"/>
      <c r="C31" s="44"/>
      <c r="D31" s="40"/>
      <c r="E31" s="166"/>
    </row>
    <row r="32" spans="1:5" ht="13.8">
      <c r="A32" s="69" t="s">
        <v>18</v>
      </c>
      <c r="B32" s="44">
        <v>0</v>
      </c>
      <c r="C32" s="44">
        <v>0</v>
      </c>
      <c r="D32" s="40">
        <f t="shared" si="2"/>
        <v>0</v>
      </c>
      <c r="E32" s="166"/>
    </row>
    <row r="33" spans="1:5" ht="13.8">
      <c r="A33" s="69" t="s">
        <v>19</v>
      </c>
      <c r="B33" s="44">
        <v>49403.5</v>
      </c>
      <c r="C33" s="44">
        <v>58058.400000000001</v>
      </c>
      <c r="D33" s="40">
        <f t="shared" si="2"/>
        <v>8654.9000000000015</v>
      </c>
      <c r="E33" s="166">
        <f t="shared" ref="E33:E38" si="4">(C33/B33)-1</f>
        <v>0.17518799275354979</v>
      </c>
    </row>
    <row r="34" spans="1:5" ht="13.8">
      <c r="A34" s="69" t="s">
        <v>20</v>
      </c>
      <c r="B34" s="44">
        <v>1125.1400000000001</v>
      </c>
      <c r="C34" s="44">
        <v>1211.43</v>
      </c>
      <c r="D34" s="40">
        <f t="shared" si="2"/>
        <v>86.289999999999964</v>
      </c>
      <c r="E34" s="166">
        <f t="shared" si="4"/>
        <v>7.6692678244485002E-2</v>
      </c>
    </row>
    <row r="35" spans="1:5" ht="13.8">
      <c r="A35" s="74" t="s">
        <v>21</v>
      </c>
      <c r="B35" s="44">
        <f>1040+3642</f>
        <v>4682</v>
      </c>
      <c r="C35" s="44">
        <f>130+3642</f>
        <v>3772</v>
      </c>
      <c r="D35" s="40">
        <f t="shared" si="2"/>
        <v>-910</v>
      </c>
      <c r="E35" s="166">
        <f t="shared" si="4"/>
        <v>-0.19436138402392145</v>
      </c>
    </row>
    <row r="36" spans="1:5" ht="13.8">
      <c r="A36" s="74" t="s">
        <v>22</v>
      </c>
      <c r="B36" s="78">
        <v>-1264139.6299999999</v>
      </c>
      <c r="C36" s="78">
        <v>-1605764.49</v>
      </c>
      <c r="D36" s="40">
        <f>C36-B36</f>
        <v>-341624.8600000001</v>
      </c>
      <c r="E36" s="166">
        <f t="shared" si="4"/>
        <v>0.270242979408849</v>
      </c>
    </row>
    <row r="37" spans="1:5" ht="13.8">
      <c r="A37" s="80" t="s">
        <v>23</v>
      </c>
      <c r="B37" s="82">
        <f>SUM(B24:B36)</f>
        <v>-927169.85999999987</v>
      </c>
      <c r="C37" s="82">
        <f>SUM(C24:C36)</f>
        <v>-1141193.8799999999</v>
      </c>
      <c r="D37" s="40">
        <f t="shared" si="2"/>
        <v>-214024.02000000002</v>
      </c>
      <c r="E37" s="166">
        <f t="shared" si="4"/>
        <v>0.23083582548725223</v>
      </c>
    </row>
    <row r="38" spans="1:5" ht="15.6">
      <c r="A38" s="85" t="s">
        <v>24</v>
      </c>
      <c r="B38" s="87">
        <f>B21+B37</f>
        <v>108674.55000000005</v>
      </c>
      <c r="C38" s="87">
        <f>C21+C37</f>
        <v>40419.780000000028</v>
      </c>
      <c r="D38" s="40">
        <f t="shared" si="2"/>
        <v>-68254.770000000019</v>
      </c>
      <c r="E38" s="166">
        <f t="shared" si="4"/>
        <v>-0.6280658166976536</v>
      </c>
    </row>
    <row r="39" spans="1:5" ht="13.8">
      <c r="A39" s="90" t="s">
        <v>35</v>
      </c>
      <c r="B39" s="91"/>
      <c r="C39" s="91"/>
      <c r="D39" s="40"/>
      <c r="E39" s="166"/>
    </row>
    <row r="40" spans="1:5" ht="13.8">
      <c r="A40" s="51" t="s">
        <v>25</v>
      </c>
      <c r="B40" s="94">
        <v>0</v>
      </c>
      <c r="C40" s="94">
        <v>0</v>
      </c>
      <c r="D40" s="40"/>
      <c r="E40" s="166"/>
    </row>
    <row r="41" spans="1:5" ht="16.2" thickBot="1">
      <c r="A41" s="85" t="s">
        <v>26</v>
      </c>
      <c r="B41" s="101">
        <f>B14+B38+B40+B39</f>
        <v>108674.55000000005</v>
      </c>
      <c r="C41" s="101">
        <f>C14+C38+C40+C39</f>
        <v>40419.780000000028</v>
      </c>
      <c r="D41" s="40">
        <f t="shared" si="2"/>
        <v>-68254.770000000019</v>
      </c>
      <c r="E41" s="166">
        <f>(C41/B41)-1</f>
        <v>-0.6280658166976536</v>
      </c>
    </row>
    <row r="42" spans="1:5" ht="14.4" thickTop="1">
      <c r="A42" s="26"/>
    </row>
    <row r="43" spans="1:5" ht="15.6">
      <c r="A43" s="109"/>
    </row>
    <row r="44" spans="1:5" ht="15.6">
      <c r="A44" s="116"/>
    </row>
    <row r="45" spans="1:5" ht="15.6">
      <c r="A45" s="158"/>
    </row>
    <row r="46" spans="1:5" ht="15.6">
      <c r="A46" s="159"/>
    </row>
    <row r="47" spans="1:5" ht="15.6">
      <c r="A47" s="159"/>
    </row>
    <row r="48" spans="1:5" ht="15.6">
      <c r="A48" s="109"/>
    </row>
    <row r="49" spans="1:1" ht="15.6">
      <c r="A49" s="109"/>
    </row>
    <row r="50" spans="1:1" ht="15.6">
      <c r="A50" s="109"/>
    </row>
    <row r="51" spans="1:1" ht="15.6">
      <c r="A51" s="109"/>
    </row>
    <row r="52" spans="1:1" ht="15.6">
      <c r="A52" s="109"/>
    </row>
    <row r="53" spans="1:1" ht="15.6">
      <c r="A53" s="109"/>
    </row>
    <row r="54" spans="1:1" ht="15.6">
      <c r="A54" s="127"/>
    </row>
    <row r="55" spans="1:1" ht="15.6">
      <c r="A55" s="127"/>
    </row>
    <row r="56" spans="1:1" ht="15.6">
      <c r="A56" s="127"/>
    </row>
    <row r="57" spans="1:1" ht="15.6">
      <c r="A57" s="127"/>
    </row>
    <row r="58" spans="1:1" ht="15">
      <c r="A58" s="132"/>
    </row>
    <row r="59" spans="1:1" ht="15">
      <c r="A59" s="132"/>
    </row>
    <row r="60" spans="1:1" ht="15">
      <c r="A60" s="132"/>
    </row>
    <row r="61" spans="1:1" ht="15">
      <c r="A61" s="132"/>
    </row>
  </sheetData>
  <mergeCells count="2">
    <mergeCell ref="B8:B10"/>
    <mergeCell ref="C8:C10"/>
  </mergeCells>
  <pageMargins left="0.2" right="0.2"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Q4 Projections</vt:lpstr>
      <vt:lpstr>Sheet1</vt:lpstr>
      <vt:lpstr>'Q4 Projections'!Print_Area</vt:lpstr>
    </vt:vector>
  </TitlesOfParts>
  <Company>Wayne State University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Kimberly Elms</dc:creator>
  <cp:lastModifiedBy>Angela Strickland</cp:lastModifiedBy>
  <cp:lastPrinted>2016-07-15T17:05:55Z</cp:lastPrinted>
  <dcterms:created xsi:type="dcterms:W3CDTF">2015-01-27T17:37:36Z</dcterms:created>
  <dcterms:modified xsi:type="dcterms:W3CDTF">2016-09-20T21:39:30Z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