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FPM Business Services\Director\files for a.strickland\Angela\FY2015-2016 Budget Performance\"/>
    </mc:Choice>
  </mc:AlternateContent>
  <bookViews>
    <workbookView xWindow="0" yWindow="0" windowWidth="23040" windowHeight="9396"/>
  </bookViews>
  <sheets>
    <sheet name="Q4 Projections" sheetId="1" r:id="rId1"/>
    <sheet name="Sheet2" sheetId="4" r:id="rId2"/>
    <sheet name="Sheet1" sheetId="3" r:id="rId3"/>
    <sheet name="Reconciliation of Qtr 1" sheetId="2" r:id="rId4"/>
  </sheets>
  <externalReferences>
    <externalReference r:id="rId5"/>
    <externalReference r:id="rId6"/>
  </externalReferences>
  <definedNames>
    <definedName name="Excel_BuiltIn_Print_Area" localSheetId="0">#REF!</definedName>
    <definedName name="Excel_BuiltIn_Print_Area">#REF!</definedName>
    <definedName name="Excel_BuiltIn_Print_Area_1" localSheetId="0">[1]P_L!#REF!</definedName>
    <definedName name="Excel_BuiltIn_Print_Area_1">[1]P_L!#REF!</definedName>
    <definedName name="Excel_BuiltIn_Print_Titles" localSheetId="0">#REF!</definedName>
    <definedName name="Excel_BuiltIn_Print_Titles">#REF!</definedName>
    <definedName name="Grossmont" localSheetId="0">#REF!</definedName>
    <definedName name="Grossmont">#REF!</definedName>
    <definedName name="Parking" localSheetId="0">[1]P_L!#REF!</definedName>
    <definedName name="Parking">[1]P_L!#REF!</definedName>
    <definedName name="_xlnm.Print_Area" localSheetId="0">'Q4 Projections'!$A$1:$P$45</definedName>
    <definedName name="_xlnm.Print_Area" localSheetId="2">Sheet1!$A$5:$I$40</definedName>
    <definedName name="Print_Area_MI" localSheetId="0">#REF!</definedName>
    <definedName name="Print_Area_MI">#REF!</definedName>
    <definedName name="PRINT_TITLES_MI" localSheetId="0">#REF!</definedName>
    <definedName name="PRINT_TITLES_MI">#REF!</definedName>
    <definedName name="TableName">"Dummy"</definedName>
  </definedNames>
  <calcPr calcId="152511"/>
</workbook>
</file>

<file path=xl/calcChain.xml><?xml version="1.0" encoding="utf-8"?>
<calcChain xmlns="http://schemas.openxmlformats.org/spreadsheetml/2006/main">
  <c r="M16" i="1" l="1"/>
  <c r="M17" i="1" l="1"/>
  <c r="M34" i="1"/>
  <c r="I16" i="1"/>
  <c r="I18" i="1"/>
  <c r="I17" i="1"/>
  <c r="M11" i="1"/>
  <c r="G16" i="1"/>
  <c r="I35" i="4" l="1"/>
  <c r="H35" i="4"/>
  <c r="G35" i="4"/>
  <c r="F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I5" i="4"/>
  <c r="I4" i="4"/>
  <c r="I3"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 i="4"/>
  <c r="D35" i="4"/>
  <c r="C35" i="4"/>
  <c r="B35" i="4"/>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D5" i="4"/>
  <c r="D4" i="4"/>
  <c r="D3" i="4"/>
  <c r="F35" i="3" l="1"/>
  <c r="F19" i="3"/>
  <c r="F36" i="3" s="1"/>
  <c r="F12" i="3"/>
  <c r="F39" i="3" s="1"/>
  <c r="B35" i="3"/>
  <c r="B17" i="3"/>
  <c r="B16" i="3"/>
  <c r="B19" i="3" s="1"/>
  <c r="B36" i="3" s="1"/>
  <c r="B11" i="3"/>
  <c r="B12" i="3" s="1"/>
  <c r="B39" i="3" s="1"/>
  <c r="G35" i="3" l="1"/>
  <c r="G19" i="3"/>
  <c r="G36" i="3" s="1"/>
  <c r="G12" i="3"/>
  <c r="G39" i="3" s="1"/>
  <c r="C35" i="3"/>
  <c r="C19" i="3"/>
  <c r="C36" i="3" s="1"/>
  <c r="C12" i="3"/>
  <c r="C39" i="3" s="1"/>
  <c r="I12" i="1"/>
  <c r="I19" i="1" l="1"/>
  <c r="J11" i="3" l="1"/>
  <c r="K11" i="3" s="1"/>
  <c r="J18" i="3"/>
  <c r="K18" i="3" s="1"/>
  <c r="H39" i="3"/>
  <c r="H36" i="3"/>
  <c r="H35" i="3"/>
  <c r="H32" i="3"/>
  <c r="H31" i="3"/>
  <c r="H28" i="3"/>
  <c r="H26" i="3"/>
  <c r="I26" i="3" s="1"/>
  <c r="H25" i="3"/>
  <c r="D12" i="3"/>
  <c r="J12" i="3" s="1"/>
  <c r="K12" i="3" s="1"/>
  <c r="D35" i="3"/>
  <c r="D34" i="3"/>
  <c r="J34" i="3" s="1"/>
  <c r="K34" i="3" s="1"/>
  <c r="D33" i="3"/>
  <c r="J33" i="3" s="1"/>
  <c r="K33" i="3" s="1"/>
  <c r="D32" i="3"/>
  <c r="J32" i="3" s="1"/>
  <c r="K32" i="3" s="1"/>
  <c r="D31" i="3"/>
  <c r="J31" i="3" s="1"/>
  <c r="K31" i="3" s="1"/>
  <c r="D30" i="3"/>
  <c r="J30" i="3" s="1"/>
  <c r="K30" i="3" s="1"/>
  <c r="D28" i="3"/>
  <c r="J28" i="3" s="1"/>
  <c r="K28" i="3" s="1"/>
  <c r="D26" i="3"/>
  <c r="J26" i="3" s="1"/>
  <c r="K26" i="3" s="1"/>
  <c r="D25" i="3"/>
  <c r="J25" i="3" s="1"/>
  <c r="K25" i="3" s="1"/>
  <c r="D23" i="3"/>
  <c r="J23" i="3" s="1"/>
  <c r="D19" i="3"/>
  <c r="D18" i="3"/>
  <c r="D17" i="3"/>
  <c r="J17" i="3" s="1"/>
  <c r="K17" i="3" s="1"/>
  <c r="D16" i="3"/>
  <c r="J16" i="3" s="1"/>
  <c r="D11" i="3"/>
  <c r="J19" i="3" l="1"/>
  <c r="K19" i="3" s="1"/>
  <c r="I31" i="3"/>
  <c r="I25" i="3"/>
  <c r="I32" i="3"/>
  <c r="K16" i="3"/>
  <c r="D36" i="3"/>
  <c r="D39" i="3" s="1"/>
  <c r="I28" i="3"/>
  <c r="I33" i="3"/>
  <c r="I30" i="3"/>
  <c r="I23" i="3"/>
  <c r="I35" i="3" s="1"/>
  <c r="K23" i="3"/>
  <c r="J35" i="3"/>
  <c r="J36" i="3" l="1"/>
  <c r="J39" i="3" s="1"/>
  <c r="K35" i="3"/>
  <c r="K36" i="3" l="1"/>
  <c r="K39" i="3" s="1"/>
  <c r="C43" i="2"/>
  <c r="C38" i="2" l="1"/>
  <c r="D38" i="2" s="1"/>
  <c r="C37" i="2"/>
  <c r="D37" i="2" s="1"/>
  <c r="C36" i="2"/>
  <c r="D36" i="2" s="1"/>
  <c r="C35" i="2"/>
  <c r="D35" i="2" s="1"/>
  <c r="C34" i="2"/>
  <c r="D34" i="2" s="1"/>
  <c r="C33" i="2"/>
  <c r="D33" i="2" s="1"/>
  <c r="C32" i="2"/>
  <c r="D32" i="2" s="1"/>
  <c r="C31" i="2"/>
  <c r="D31" i="2" s="1"/>
  <c r="C30" i="2"/>
  <c r="D30" i="2" s="1"/>
  <c r="C29" i="2"/>
  <c r="D29" i="2" s="1"/>
  <c r="C28" i="2"/>
  <c r="D28" i="2" s="1"/>
  <c r="C27" i="2"/>
  <c r="D27" i="2" s="1"/>
  <c r="C26" i="2"/>
  <c r="D26" i="2" s="1"/>
  <c r="C42" i="2" s="1"/>
  <c r="C46" i="2" s="1"/>
  <c r="B39" i="2"/>
  <c r="C39" i="2" l="1"/>
  <c r="D39" i="2" s="1"/>
  <c r="B4" i="2" l="1"/>
  <c r="B8" i="2" s="1"/>
  <c r="B22" i="2"/>
  <c r="B10" i="2" l="1"/>
  <c r="B12" i="2" s="1"/>
  <c r="B14" i="2" s="1"/>
  <c r="N18" i="1" l="1"/>
  <c r="F16" i="1"/>
  <c r="N11" i="1"/>
  <c r="P11" i="1" s="1"/>
  <c r="P12" i="1" s="1"/>
  <c r="N26" i="1"/>
  <c r="P26" i="1" s="1"/>
  <c r="N27" i="1"/>
  <c r="P27" i="1"/>
  <c r="N29" i="1"/>
  <c r="P29" i="1"/>
  <c r="N34" i="1"/>
  <c r="P34" i="1" s="1"/>
  <c r="F19" i="1"/>
  <c r="F36" i="1" s="1"/>
  <c r="F39" i="1" s="1"/>
  <c r="N38" i="1"/>
  <c r="P38" i="1"/>
  <c r="C34" i="1"/>
  <c r="N33" i="1"/>
  <c r="P33" i="1" s="1"/>
  <c r="C33" i="1"/>
  <c r="C32" i="1"/>
  <c r="C31" i="1"/>
  <c r="C30" i="1"/>
  <c r="C28" i="1"/>
  <c r="C26" i="1"/>
  <c r="C25" i="1"/>
  <c r="N24" i="1"/>
  <c r="P24" i="1" s="1"/>
  <c r="C24" i="1"/>
  <c r="N23" i="1"/>
  <c r="P23" i="1" s="1"/>
  <c r="C23" i="1"/>
  <c r="N17" i="1"/>
  <c r="P17" i="1" s="1"/>
  <c r="C16" i="1"/>
  <c r="C19" i="1" s="1"/>
  <c r="M12" i="1"/>
  <c r="G12" i="1"/>
  <c r="F12" i="1"/>
  <c r="K12" i="1"/>
  <c r="C11" i="1"/>
  <c r="C12" i="1" s="1"/>
  <c r="G19" i="1"/>
  <c r="N30" i="1"/>
  <c r="P30" i="1" s="1"/>
  <c r="N31" i="1"/>
  <c r="P31" i="1" s="1"/>
  <c r="K35" i="1"/>
  <c r="K19" i="1"/>
  <c r="M19" i="1"/>
  <c r="G35" i="1"/>
  <c r="I35" i="1"/>
  <c r="N25" i="1"/>
  <c r="P25" i="1" s="1"/>
  <c r="N32" i="1"/>
  <c r="P32" i="1" s="1"/>
  <c r="N28" i="1"/>
  <c r="P28" i="1" s="1"/>
  <c r="F35" i="1"/>
  <c r="N22" i="1"/>
  <c r="P22" i="1"/>
  <c r="M35" i="1"/>
  <c r="N16" i="1"/>
  <c r="P16" i="1" s="1"/>
  <c r="I36" i="1" l="1"/>
  <c r="I39" i="1" s="1"/>
  <c r="K36" i="1"/>
  <c r="K39" i="1" s="1"/>
  <c r="N35" i="1"/>
  <c r="P35" i="1"/>
  <c r="N19" i="1"/>
  <c r="C35" i="1"/>
  <c r="C36" i="1" s="1"/>
  <c r="C39" i="1" s="1"/>
  <c r="M36" i="1"/>
  <c r="M39" i="1" s="1"/>
  <c r="G36" i="1"/>
  <c r="P18" i="1"/>
  <c r="P19" i="1" s="1"/>
  <c r="N12" i="1"/>
  <c r="P36" i="1" l="1"/>
  <c r="P39" i="1" s="1"/>
  <c r="N36" i="1"/>
  <c r="N39" i="1" s="1"/>
  <c r="G39" i="1"/>
  <c r="P40" i="1" l="1"/>
</calcChain>
</file>

<file path=xl/sharedStrings.xml><?xml version="1.0" encoding="utf-8"?>
<sst xmlns="http://schemas.openxmlformats.org/spreadsheetml/2006/main" count="167" uniqueCount="110">
  <si>
    <t>FY 2011 Actual Activity</t>
  </si>
  <si>
    <t>REVENUES</t>
  </si>
  <si>
    <t xml:space="preserve">   Other Income</t>
  </si>
  <si>
    <t>TOTAL REVENUES</t>
  </si>
  <si>
    <t>EXPENDITURES</t>
  </si>
  <si>
    <t>Compensation</t>
  </si>
  <si>
    <t>Salaries and Wages</t>
  </si>
  <si>
    <t>Overtime</t>
  </si>
  <si>
    <t>Fringe Benefits</t>
  </si>
  <si>
    <t>Subtotal Compensation</t>
  </si>
  <si>
    <t>General Expense</t>
  </si>
  <si>
    <t>Equipment Purchases</t>
  </si>
  <si>
    <t>Computer Supplies and Software</t>
  </si>
  <si>
    <t xml:space="preserve">Supplies </t>
  </si>
  <si>
    <t>Facilities Costs</t>
  </si>
  <si>
    <t>Utilities</t>
  </si>
  <si>
    <t>Services, Contracts &amp; Fees</t>
  </si>
  <si>
    <t>Scholarships and Fellowships</t>
  </si>
  <si>
    <t>Professional Development</t>
  </si>
  <si>
    <t>Travel and Moving Expenses</t>
  </si>
  <si>
    <t>Printing and Communication</t>
  </si>
  <si>
    <t>Other Expense</t>
  </si>
  <si>
    <t>Internal  Transfers</t>
  </si>
  <si>
    <t>Subtotal General Expenses</t>
  </si>
  <si>
    <t>TOTAL EXPENDITURES</t>
  </si>
  <si>
    <t>Transfers</t>
  </si>
  <si>
    <t>NET EXPENDITURES</t>
  </si>
  <si>
    <t>Projected % of Budget Remaining</t>
  </si>
  <si>
    <t>Footnote Explanations:</t>
  </si>
  <si>
    <t>Finance and Business Operations</t>
  </si>
  <si>
    <t>FISCAL 2016 PROJECTIONS</t>
  </si>
  <si>
    <t>FY16 Projected Balance</t>
  </si>
  <si>
    <t>Additional Operations Cost</t>
  </si>
  <si>
    <t>FY 2016 Approved Budget</t>
  </si>
  <si>
    <t>FY 2016 Revised Budget</t>
  </si>
  <si>
    <t>Please note that additional transfers are being made to update correct expense categories.</t>
  </si>
  <si>
    <t>Salary underrun is expected to be onetime as it relates to funds provided after the FY16 year and the positions were not established until well into the 1st quarter.  In addition we have had significant turnover and vacancies in the engineering and custodial group which we are hiring once  quickly as possible</t>
  </si>
  <si>
    <t>Part Time</t>
  </si>
  <si>
    <t>Students</t>
  </si>
  <si>
    <t>Total Salaries per Banner</t>
  </si>
  <si>
    <t>Salaries originally reported</t>
  </si>
  <si>
    <t>Reversal of Tech Town entry</t>
  </si>
  <si>
    <t>Reverse Tech Town Positions</t>
  </si>
  <si>
    <t>Move budget to correct acct code</t>
  </si>
  <si>
    <t>Variance</t>
  </si>
  <si>
    <t>Reconciled number</t>
  </si>
  <si>
    <t xml:space="preserve">General Expense </t>
  </si>
  <si>
    <t xml:space="preserve">Originally Reported </t>
  </si>
  <si>
    <t>Corrected</t>
  </si>
  <si>
    <t>A</t>
  </si>
  <si>
    <t>B</t>
  </si>
  <si>
    <r>
      <rPr>
        <b/>
        <sz val="10"/>
        <color theme="1"/>
        <rFont val="Tahoma"/>
        <family val="2"/>
      </rPr>
      <t>A</t>
    </r>
    <r>
      <rPr>
        <sz val="10"/>
        <color theme="1"/>
        <rFont val="Tahoma"/>
        <family val="2"/>
      </rPr>
      <t xml:space="preserve"> - Reverse Salaries for Tech Town Entry</t>
    </r>
  </si>
  <si>
    <t>B,C</t>
  </si>
  <si>
    <r>
      <rPr>
        <b/>
        <sz val="10"/>
        <color theme="1"/>
        <rFont val="Tahoma"/>
        <family val="2"/>
      </rPr>
      <t>B</t>
    </r>
    <r>
      <rPr>
        <sz val="10"/>
        <color theme="1"/>
        <rFont val="Tahoma"/>
        <family val="2"/>
      </rPr>
      <t xml:space="preserve"> - Reverse General Expense for Tech Town Entry</t>
    </r>
  </si>
  <si>
    <r>
      <rPr>
        <b/>
        <sz val="10"/>
        <color theme="1"/>
        <rFont val="Tahoma"/>
        <family val="2"/>
      </rPr>
      <t>C</t>
    </r>
    <r>
      <rPr>
        <sz val="10"/>
        <color theme="1"/>
        <rFont val="Tahoma"/>
        <family val="2"/>
      </rPr>
      <t xml:space="preserve"> - Move Budget to Correct Acct Code</t>
    </r>
  </si>
  <si>
    <r>
      <rPr>
        <b/>
        <sz val="10"/>
        <color theme="1"/>
        <rFont val="Tahoma"/>
        <family val="2"/>
      </rPr>
      <t>D</t>
    </r>
    <r>
      <rPr>
        <sz val="10"/>
        <color theme="1"/>
        <rFont val="Tahoma"/>
        <family val="2"/>
      </rPr>
      <t xml:space="preserve"> - Reduction of $179,096 for 2015 CF of PO Encumbrance </t>
    </r>
  </si>
  <si>
    <t>Reconciliation of Budget Adjustments</t>
  </si>
  <si>
    <t>Salaries per revised Qtrly report</t>
  </si>
  <si>
    <t>Unit: Facilities Planning &amp; Management  Fund 113050 General Fund</t>
  </si>
  <si>
    <t>Additional Projections through 9/30/16</t>
  </si>
  <si>
    <t>YTD 05/31/16 Actual</t>
  </si>
  <si>
    <t>Commitments @ 5/31/2016</t>
  </si>
  <si>
    <t>Projections</t>
  </si>
  <si>
    <t xml:space="preserve">Projected </t>
  </si>
  <si>
    <t>Balance</t>
  </si>
  <si>
    <t>Net increase / Decrease in Commitments</t>
  </si>
  <si>
    <t>Increase in expenses</t>
  </si>
  <si>
    <t>Change in Expense from April to May</t>
  </si>
  <si>
    <t>Change in Commitment value</t>
  </si>
  <si>
    <t>Change in spending</t>
  </si>
  <si>
    <t>YTD 06/30/16 Actual</t>
  </si>
  <si>
    <t>Commitments @ 6/30/2016</t>
  </si>
  <si>
    <t>7A3 - Facility Costs Budget Pool</t>
  </si>
  <si>
    <t>721K - Equipment Repair + Maintenance</t>
  </si>
  <si>
    <t>721L31 - FP&amp;M Carpentry Supplies &amp; Materials</t>
  </si>
  <si>
    <t>721L32 - FP&amp;M Electrical Supplies/Materials</t>
  </si>
  <si>
    <t>721L33 - FP&amp;M Plumbing/Pipefitting Sup/Matls</t>
  </si>
  <si>
    <t>721L34 - FP&amp;M Painting/Plasterers Sup/Matls</t>
  </si>
  <si>
    <t>721L36 - FP&amp;M Pest Control Supplies/Material</t>
  </si>
  <si>
    <t>721L37 - FP&amp;M HVAC Supplies and Materials</t>
  </si>
  <si>
    <t>721L38 - FP&amp;M Custodial Supplies &amp; Materials</t>
  </si>
  <si>
    <t>721L39 - FP&amp;M Grounds Supplies &amp; Materials</t>
  </si>
  <si>
    <t>721L3A - FP&amp;M Gas &amp; Oil Supplies &amp; Materials</t>
  </si>
  <si>
    <t>721L3B - FP&amp;M Other Supplies &amp; Materials</t>
  </si>
  <si>
    <t>721L3C - FP&amp;M Safety Supplies &amp; Materials</t>
  </si>
  <si>
    <t>721L41 - FP&amp;M Carpentry Contracted Services</t>
  </si>
  <si>
    <t>721L42 - FP&amp;M Electrical Contracted Services</t>
  </si>
  <si>
    <t>721L43 - FP&amp;M Plumbing/Pipefitter Cntrt Srvs</t>
  </si>
  <si>
    <t>721L44 - FP&amp;M Painting/Plasterer Contrt Srvs</t>
  </si>
  <si>
    <t>721L46 - FP&amp;M Pest Control Contracted Srvs</t>
  </si>
  <si>
    <t>721L47 - FP&amp;M HVAC Contracted Services</t>
  </si>
  <si>
    <t>721L48 - FP&amp;M Roofer Contracted Services</t>
  </si>
  <si>
    <t>721L49 - FP&amp;M Masonry Contracted Services</t>
  </si>
  <si>
    <t>721L4A - FP&amp;M Landscaping Contracted Service</t>
  </si>
  <si>
    <t>721L4D - FP&amp;M Irrigation Contracted Srvs</t>
  </si>
  <si>
    <t>721L4E - FP&amp;M Other Contracted Srvs</t>
  </si>
  <si>
    <t>721L51 - FP&amp;M HVAC Chillers Maint Contracts</t>
  </si>
  <si>
    <t>721L52 - FP&amp;M HVAC Boilers Maint Contracts</t>
  </si>
  <si>
    <t>721L53 - FP&amp;M Generators Maint Contracts</t>
  </si>
  <si>
    <t>721L54 - FP&amp;M Other Maintenance Contracts</t>
  </si>
  <si>
    <t>721L61 - FP&amp;M HVAC Chillers Equip Rep &amp; Mant</t>
  </si>
  <si>
    <t>721L62 - FP&amp;M HVAC Boilers Equip Rep &amp; Mant</t>
  </si>
  <si>
    <t>721L63 - FP&amp;M HVAC Air Handling Equip R/M</t>
  </si>
  <si>
    <t>721L64 - FP&amp;M HVAC Other Equip Repair &amp; Mant</t>
  </si>
  <si>
    <t>6/30/16</t>
  </si>
  <si>
    <t>5/31/2016</t>
  </si>
  <si>
    <t>Fiscal Year 2016 Projections as of 7/31/2016</t>
  </si>
  <si>
    <t>Inventory Write off</t>
  </si>
  <si>
    <t>YTD 08/31/16 Actual</t>
  </si>
  <si>
    <t>Commitments @ 8/31/2016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</si>
</sst>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_);\(&quot;$&quot;#,##0\)"/>
    <numFmt numFmtId="6" formatCode="&quot;$&quot;#,##0_);[Red]\(&quot;$&quot;#,##0\)"/>
    <numFmt numFmtId="7" formatCode="&quot;$&quot;#,##0.00_);\(&quot;$&quot;#,##0.00\)"/>
    <numFmt numFmtId="44" formatCode="_(&quot;$&quot;* #,##0.00_);_(&quot;$&quot;* \(#,##0.00\);_(&quot;$&quot;* &quot;-&quot;??_);_(@_)"/>
    <numFmt numFmtId="43" formatCode="_(* #,##0.00_);_(* \(#,##0.00\);_(* &quot;-&quot;??_);_(@_)"/>
    <numFmt numFmtId="164" formatCode="&quot;$&quot;#,##0"/>
    <numFmt numFmtId="165" formatCode="&quot;$&quot;#,##0.0_);\(&quot;$&quot;#,##0.0\)"/>
    <numFmt numFmtId="166" formatCode="#,##0.0_);\(#,##0.0\)"/>
    <numFmt numFmtId="167" formatCode="_(* #,##0_);_(* \(#,##0\);_(* &quot;-&quot;??_);_(@_)"/>
  </numFmts>
  <fonts count="37">
    <font>
      <sz val="10"/>
      <color theme="1"/>
      <name val="Tahoma"/>
      <family val="2"/>
    </font>
    <font>
      <sz val="11"/>
      <color theme="1"/>
      <name val="Calibri"/>
      <family val="2"/>
      <scheme val="minor"/>
    </font>
    <font>
      <sz val="11"/>
      <color theme="1"/>
      <name val="Calibri"/>
      <family val="2"/>
      <scheme val="minor"/>
    </font>
    <font>
      <sz val="10"/>
      <name val="Arial"/>
      <family val="2"/>
    </font>
    <font>
      <sz val="11"/>
      <name val="Bookman Old Style"/>
      <family val="1"/>
    </font>
    <font>
      <b/>
      <sz val="11"/>
      <color theme="1"/>
      <name val="Bookman Old Style"/>
      <family val="1"/>
    </font>
    <font>
      <sz val="10"/>
      <color theme="1"/>
      <name val="Tahoma"/>
      <family val="2"/>
    </font>
    <font>
      <b/>
      <sz val="11"/>
      <name val="Bookman Old Style"/>
      <family val="1"/>
    </font>
    <font>
      <sz val="10"/>
      <color theme="1"/>
      <name val="Arial"/>
      <family val="2"/>
    </font>
    <font>
      <b/>
      <sz val="20"/>
      <name val="Bookman Old Style"/>
      <family val="1"/>
    </font>
    <font>
      <b/>
      <sz val="16"/>
      <color theme="1"/>
      <name val="Andale WT"/>
      <family val="2"/>
    </font>
    <font>
      <b/>
      <i/>
      <sz val="14"/>
      <color theme="1"/>
      <name val="Andale WT"/>
    </font>
    <font>
      <b/>
      <sz val="11"/>
      <color rgb="FFFF0000"/>
      <name val="Bookman Old Style"/>
      <family val="1"/>
    </font>
    <font>
      <sz val="12"/>
      <name val="Bookman Old Style"/>
      <family val="1"/>
    </font>
    <font>
      <sz val="12"/>
      <color theme="1"/>
      <name val="Tahoma"/>
      <family val="2"/>
    </font>
    <font>
      <b/>
      <sz val="12"/>
      <name val="Bookman Old Style"/>
      <family val="1"/>
    </font>
    <font>
      <sz val="11"/>
      <color theme="1"/>
      <name val="Bookman Old Style"/>
      <family val="1"/>
    </font>
    <font>
      <b/>
      <u val="double"/>
      <sz val="12"/>
      <name val="Bookman Old Style"/>
      <family val="1"/>
    </font>
    <font>
      <b/>
      <sz val="14"/>
      <name val="Bookman Old Style"/>
      <family val="1"/>
    </font>
    <font>
      <sz val="12"/>
      <color indexed="8"/>
      <name val="Bookman Old Style"/>
      <family val="1"/>
    </font>
    <font>
      <sz val="11"/>
      <color indexed="8"/>
      <name val="Bookman Old Style"/>
      <family val="1"/>
    </font>
    <font>
      <b/>
      <sz val="11"/>
      <color indexed="8"/>
      <name val="Bookman Old Style"/>
      <family val="1"/>
    </font>
    <font>
      <b/>
      <sz val="12"/>
      <color rgb="FFFF0000"/>
      <name val="Bookman Old Style"/>
      <family val="1"/>
    </font>
    <font>
      <sz val="12"/>
      <color rgb="FFFF0000"/>
      <name val="Bookman Old Style"/>
      <family val="1"/>
    </font>
    <font>
      <sz val="10"/>
      <color rgb="FFFF0000"/>
      <name val="Arial"/>
      <family val="2"/>
    </font>
    <font>
      <sz val="12"/>
      <color theme="1"/>
      <name val="Bookman Old Style"/>
      <family val="1"/>
    </font>
    <font>
      <b/>
      <sz val="12"/>
      <color indexed="8"/>
      <name val="Bookman Old Style"/>
      <family val="1"/>
    </font>
    <font>
      <sz val="12"/>
      <color theme="1"/>
      <name val="Times New Roman"/>
      <family val="1"/>
    </font>
    <font>
      <sz val="12"/>
      <color theme="1"/>
      <name val="Arial"/>
      <family val="2"/>
    </font>
    <font>
      <b/>
      <sz val="12"/>
      <color theme="1"/>
      <name val="Times New Roman"/>
      <family val="1"/>
    </font>
    <font>
      <sz val="9"/>
      <color theme="1"/>
      <name val="Arial"/>
      <family val="2"/>
    </font>
    <font>
      <sz val="11"/>
      <color indexed="8"/>
      <name val="Calibri"/>
      <family val="2"/>
    </font>
    <font>
      <sz val="10"/>
      <color theme="1"/>
      <name val="Arial Narrow"/>
      <family val="2"/>
    </font>
    <font>
      <b/>
      <sz val="10"/>
      <color theme="1"/>
      <name val="Tahoma"/>
      <family val="2"/>
    </font>
    <font>
      <sz val="10"/>
      <name val="Tahoma"/>
      <family val="2"/>
    </font>
    <font>
      <b/>
      <sz val="11"/>
      <color theme="1"/>
      <name val="Tahoma"/>
      <family val="2"/>
    </font>
    <font>
      <sz val="8"/>
      <color theme="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FF"/>
      </patternFill>
    </fill>
    <fill>
      <patternFill patternType="solid">
        <fgColor theme="7"/>
        <bgColor indexed="64"/>
      </patternFill>
    </fill>
  </fills>
  <borders count="2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double">
        <color indexed="64"/>
      </bottom>
      <diagonal/>
    </border>
    <border>
      <left style="medium">
        <color rgb="FF003399"/>
      </left>
      <right style="medium">
        <color rgb="FF003399"/>
      </right>
      <top style="medium">
        <color rgb="FF003399"/>
      </top>
      <bottom style="medium">
        <color rgb="FF003399"/>
      </bottom>
      <diagonal/>
    </border>
  </borders>
  <cellStyleXfs count="131">
    <xf numFmtId="0" fontId="0" fillId="0" borderId="0"/>
    <xf numFmtId="44" fontId="6" fillId="0" borderId="0" applyFont="0" applyFill="0" applyBorder="0" applyAlignment="0" applyProtection="0"/>
    <xf numFmtId="9" fontId="6" fillId="0" borderId="0" applyFont="0" applyFill="0" applyBorder="0" applyAlignment="0" applyProtection="0"/>
    <xf numFmtId="0" fontId="3" fillId="0" borderId="0"/>
    <xf numFmtId="0" fontId="2" fillId="0" borderId="0"/>
    <xf numFmtId="0" fontId="8" fillId="0" borderId="0"/>
    <xf numFmtId="0" fontId="3" fillId="0" borderId="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1" fillId="0" borderId="0" applyFont="0" applyFill="0" applyBorder="0" applyAlignment="0" applyProtection="0"/>
    <xf numFmtId="43" fontId="6"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1" fillId="0" borderId="0" applyFont="0" applyFill="0" applyBorder="0" applyAlignment="0" applyProtection="0"/>
    <xf numFmtId="44" fontId="3"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0" fontId="6" fillId="0" borderId="0"/>
    <xf numFmtId="0" fontId="32" fillId="0" borderId="0"/>
    <xf numFmtId="0" fontId="6" fillId="0" borderId="0"/>
    <xf numFmtId="0" fontId="3" fillId="0" borderId="0"/>
    <xf numFmtId="0" fontId="3" fillId="0" borderId="0"/>
    <xf numFmtId="0" fontId="3" fillId="0" borderId="0"/>
    <xf numFmtId="0" fontId="3"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3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1" fillId="0" borderId="0" applyFont="0" applyFill="0" applyBorder="0" applyAlignment="0" applyProtection="0"/>
    <xf numFmtId="9" fontId="3" fillId="0" borderId="0" applyFont="0" applyFill="0" applyBorder="0" applyAlignment="0" applyProtection="0"/>
    <xf numFmtId="9" fontId="6"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5" fontId="4" fillId="0" borderId="0"/>
    <xf numFmtId="43" fontId="6" fillId="0" borderId="0" applyFont="0" applyFill="0" applyBorder="0" applyAlignment="0" applyProtection="0"/>
  </cellStyleXfs>
  <cellXfs count="242">
    <xf numFmtId="0" fontId="0" fillId="0" borderId="0" xfId="0"/>
    <xf numFmtId="0" fontId="4" fillId="0" borderId="0" xfId="3" applyFont="1" applyFill="1" applyBorder="1" applyAlignment="1">
      <alignment horizontal="centerContinuous"/>
    </xf>
    <xf numFmtId="0" fontId="5" fillId="0" borderId="0" xfId="4" applyFont="1" applyFill="1" applyBorder="1"/>
    <xf numFmtId="164" fontId="4" fillId="0" borderId="0" xfId="1" applyNumberFormat="1" applyFont="1" applyFill="1" applyBorder="1" applyAlignment="1">
      <alignment horizontal="centerContinuous"/>
    </xf>
    <xf numFmtId="0" fontId="4" fillId="0" borderId="0" xfId="3" applyFont="1" applyFill="1" applyBorder="1" applyAlignment="1"/>
    <xf numFmtId="0" fontId="7" fillId="0" borderId="0" xfId="3" applyFont="1" applyFill="1" applyBorder="1" applyAlignment="1"/>
    <xf numFmtId="0" fontId="8" fillId="0" borderId="0" xfId="5" applyFont="1" applyFill="1"/>
    <xf numFmtId="0" fontId="0" fillId="0" borderId="0" xfId="0" applyBorder="1" applyAlignment="1"/>
    <xf numFmtId="0" fontId="7" fillId="0" borderId="0" xfId="3" applyFont="1" applyFill="1" applyBorder="1" applyAlignment="1">
      <alignment horizontal="center" wrapText="1"/>
    </xf>
    <xf numFmtId="0" fontId="4" fillId="0" borderId="0" xfId="3" applyFont="1" applyFill="1" applyBorder="1"/>
    <xf numFmtId="0" fontId="7" fillId="0" borderId="0" xfId="3" applyFont="1" applyFill="1" applyBorder="1" applyAlignment="1">
      <alignment wrapText="1"/>
    </xf>
    <xf numFmtId="164" fontId="7" fillId="0" borderId="4" xfId="1" applyNumberFormat="1" applyFont="1" applyFill="1" applyBorder="1" applyAlignment="1">
      <alignment wrapText="1"/>
    </xf>
    <xf numFmtId="0" fontId="7" fillId="2" borderId="4" xfId="3" applyFont="1" applyFill="1" applyBorder="1" applyAlignment="1">
      <alignment wrapText="1"/>
    </xf>
    <xf numFmtId="0" fontId="7" fillId="0" borderId="5" xfId="3" applyFont="1" applyFill="1" applyBorder="1" applyAlignment="1">
      <alignment wrapText="1"/>
    </xf>
    <xf numFmtId="0" fontId="7" fillId="0" borderId="4" xfId="3" applyFont="1" applyFill="1" applyBorder="1" applyAlignment="1">
      <alignment wrapText="1"/>
    </xf>
    <xf numFmtId="0" fontId="7" fillId="3" borderId="4" xfId="3" applyFont="1" applyFill="1" applyBorder="1" applyAlignment="1">
      <alignment wrapText="1"/>
    </xf>
    <xf numFmtId="0" fontId="7" fillId="4" borderId="4" xfId="3" applyFont="1" applyFill="1" applyBorder="1" applyAlignment="1">
      <alignment wrapText="1"/>
    </xf>
    <xf numFmtId="165" fontId="4" fillId="0" borderId="0" xfId="3" applyNumberFormat="1" applyFont="1" applyFill="1" applyBorder="1"/>
    <xf numFmtId="0" fontId="7" fillId="0" borderId="0" xfId="3" applyFont="1" applyFill="1" applyBorder="1"/>
    <xf numFmtId="165" fontId="4" fillId="0" borderId="0" xfId="3" applyNumberFormat="1" applyFont="1" applyFill="1" applyBorder="1" applyAlignment="1"/>
    <xf numFmtId="164" fontId="4" fillId="0" borderId="4" xfId="1" applyNumberFormat="1" applyFont="1" applyFill="1" applyBorder="1" applyAlignment="1"/>
    <xf numFmtId="165" fontId="4" fillId="2" borderId="4" xfId="3" applyNumberFormat="1" applyFont="1" applyFill="1" applyBorder="1" applyAlignment="1"/>
    <xf numFmtId="165" fontId="4" fillId="0" borderId="5" xfId="3" applyNumberFormat="1" applyFont="1" applyFill="1" applyBorder="1" applyAlignment="1"/>
    <xf numFmtId="165" fontId="4" fillId="0" borderId="4" xfId="3" applyNumberFormat="1" applyFont="1" applyFill="1" applyBorder="1" applyAlignment="1"/>
    <xf numFmtId="5" fontId="4" fillId="3" borderId="4" xfId="3" applyNumberFormat="1" applyFont="1" applyFill="1" applyBorder="1" applyAlignment="1"/>
    <xf numFmtId="165" fontId="4" fillId="4" borderId="4" xfId="3" applyNumberFormat="1" applyFont="1" applyFill="1" applyBorder="1" applyAlignment="1"/>
    <xf numFmtId="166" fontId="4" fillId="0" borderId="0" xfId="3" applyNumberFormat="1" applyFont="1" applyFill="1" applyBorder="1"/>
    <xf numFmtId="5" fontId="4" fillId="0" borderId="0" xfId="3" applyNumberFormat="1" applyFont="1" applyFill="1" applyBorder="1" applyAlignment="1"/>
    <xf numFmtId="5" fontId="4" fillId="0" borderId="0" xfId="3" applyNumberFormat="1" applyFont="1" applyFill="1" applyBorder="1"/>
    <xf numFmtId="5" fontId="4" fillId="0" borderId="4" xfId="3" applyNumberFormat="1" applyFont="1" applyFill="1" applyBorder="1" applyAlignment="1"/>
    <xf numFmtId="5" fontId="4" fillId="2" borderId="4" xfId="3" applyNumberFormat="1" applyFont="1" applyFill="1" applyBorder="1" applyAlignment="1"/>
    <xf numFmtId="5" fontId="0" fillId="0" borderId="0" xfId="0" applyNumberFormat="1"/>
    <xf numFmtId="5" fontId="7" fillId="3" borderId="4" xfId="3" applyNumberFormat="1" applyFont="1" applyFill="1" applyBorder="1" applyAlignment="1"/>
    <xf numFmtId="5" fontId="4" fillId="4" borderId="4" xfId="3" applyNumberFormat="1" applyFont="1" applyFill="1" applyBorder="1" applyAlignment="1"/>
    <xf numFmtId="165" fontId="7" fillId="0" borderId="0" xfId="3" applyNumberFormat="1" applyFont="1" applyFill="1" applyBorder="1" applyAlignment="1"/>
    <xf numFmtId="166" fontId="7" fillId="0" borderId="0" xfId="3" applyNumberFormat="1" applyFont="1" applyFill="1" applyBorder="1" applyAlignment="1">
      <alignment horizontal="left" indent="2"/>
    </xf>
    <xf numFmtId="5" fontId="7" fillId="0" borderId="10" xfId="3" applyNumberFormat="1" applyFont="1" applyFill="1" applyBorder="1" applyAlignment="1"/>
    <xf numFmtId="5" fontId="7" fillId="0" borderId="0" xfId="3" applyNumberFormat="1" applyFont="1" applyFill="1" applyBorder="1" applyAlignment="1"/>
    <xf numFmtId="37" fontId="7" fillId="0" borderId="11" xfId="1" applyNumberFormat="1" applyFont="1" applyFill="1" applyBorder="1" applyAlignment="1"/>
    <xf numFmtId="37" fontId="7" fillId="2" borderId="11" xfId="1" applyNumberFormat="1" applyFont="1" applyFill="1" applyBorder="1" applyAlignment="1"/>
    <xf numFmtId="37" fontId="0" fillId="0" borderId="0" xfId="0" applyNumberFormat="1"/>
    <xf numFmtId="37" fontId="7" fillId="0" borderId="10" xfId="3" applyNumberFormat="1" applyFont="1" applyFill="1" applyBorder="1" applyAlignment="1"/>
    <xf numFmtId="37" fontId="7" fillId="3" borderId="11" xfId="3" applyNumberFormat="1" applyFont="1" applyFill="1" applyBorder="1" applyAlignment="1"/>
    <xf numFmtId="37" fontId="7" fillId="4" borderId="11" xfId="3" applyNumberFormat="1" applyFont="1" applyFill="1" applyBorder="1" applyAlignment="1"/>
    <xf numFmtId="37" fontId="4" fillId="0" borderId="4" xfId="1" applyNumberFormat="1" applyFont="1" applyFill="1" applyBorder="1" applyAlignment="1"/>
    <xf numFmtId="37" fontId="4" fillId="2" borderId="4" xfId="1" applyNumberFormat="1" applyFont="1" applyFill="1" applyBorder="1" applyAlignment="1"/>
    <xf numFmtId="37" fontId="4" fillId="0" borderId="0" xfId="3" applyNumberFormat="1" applyFont="1" applyFill="1" applyBorder="1" applyAlignment="1"/>
    <xf numFmtId="37" fontId="7" fillId="3" borderId="4" xfId="3" applyNumberFormat="1" applyFont="1" applyFill="1" applyBorder="1" applyAlignment="1"/>
    <xf numFmtId="37" fontId="4" fillId="4" borderId="4" xfId="3" applyNumberFormat="1" applyFont="1" applyFill="1" applyBorder="1" applyAlignment="1"/>
    <xf numFmtId="166" fontId="7" fillId="0" borderId="0" xfId="3" applyNumberFormat="1" applyFont="1" applyFill="1" applyBorder="1"/>
    <xf numFmtId="43" fontId="8" fillId="0" borderId="0" xfId="5" applyNumberFormat="1" applyFont="1" applyFill="1"/>
    <xf numFmtId="166" fontId="7" fillId="0" borderId="0" xfId="3" applyNumberFormat="1" applyFont="1" applyFill="1" applyBorder="1" applyAlignment="1">
      <alignment horizontal="left" indent="1"/>
    </xf>
    <xf numFmtId="166" fontId="4" fillId="0" borderId="0" xfId="3" applyNumberFormat="1" applyFont="1" applyFill="1" applyBorder="1" applyAlignment="1">
      <alignment horizontal="left" indent="3"/>
    </xf>
    <xf numFmtId="37" fontId="4" fillId="0" borderId="4" xfId="3" applyNumberFormat="1" applyFont="1" applyFill="1" applyBorder="1" applyAlignment="1"/>
    <xf numFmtId="37" fontId="4" fillId="2" borderId="4" xfId="3" applyNumberFormat="1" applyFont="1" applyFill="1" applyBorder="1" applyAlignment="1"/>
    <xf numFmtId="37" fontId="7" fillId="4" borderId="4" xfId="3" applyNumberFormat="1" applyFont="1" applyFill="1" applyBorder="1" applyAlignment="1"/>
    <xf numFmtId="5" fontId="12" fillId="0" borderId="0" xfId="3" applyNumberFormat="1" applyFont="1" applyFill="1" applyBorder="1" applyAlignment="1"/>
    <xf numFmtId="5" fontId="8" fillId="0" borderId="0" xfId="5" applyNumberFormat="1" applyFont="1" applyFill="1"/>
    <xf numFmtId="37" fontId="13" fillId="0" borderId="11" xfId="1" applyNumberFormat="1" applyFont="1" applyFill="1" applyBorder="1" applyAlignment="1"/>
    <xf numFmtId="37" fontId="14" fillId="0" borderId="0" xfId="0" applyNumberFormat="1" applyFont="1"/>
    <xf numFmtId="37" fontId="13" fillId="0" borderId="10" xfId="3" applyNumberFormat="1" applyFont="1" applyFill="1" applyBorder="1" applyAlignment="1"/>
    <xf numFmtId="37" fontId="15" fillId="3" borderId="11" xfId="3" applyNumberFormat="1" applyFont="1" applyFill="1" applyBorder="1" applyAlignment="1"/>
    <xf numFmtId="37" fontId="15" fillId="4" borderId="11" xfId="3" applyNumberFormat="1" applyFont="1" applyFill="1" applyBorder="1" applyAlignment="1"/>
    <xf numFmtId="37" fontId="4" fillId="0" borderId="12" xfId="1" applyNumberFormat="1" applyFont="1" applyFill="1" applyBorder="1" applyAlignment="1"/>
    <xf numFmtId="37" fontId="4" fillId="2" borderId="12" xfId="1" applyNumberFormat="1" applyFont="1" applyFill="1" applyBorder="1" applyAlignment="1"/>
    <xf numFmtId="37" fontId="4" fillId="0" borderId="6" xfId="3" applyNumberFormat="1" applyFont="1" applyFill="1" applyBorder="1" applyAlignment="1"/>
    <xf numFmtId="37" fontId="7" fillId="3" borderId="12" xfId="3" applyNumberFormat="1" applyFont="1" applyFill="1" applyBorder="1" applyAlignment="1"/>
    <xf numFmtId="37" fontId="7" fillId="4" borderId="12" xfId="3" applyNumberFormat="1" applyFont="1" applyFill="1" applyBorder="1" applyAlignment="1"/>
    <xf numFmtId="166" fontId="4" fillId="0" borderId="0" xfId="3" applyNumberFormat="1" applyFont="1" applyFill="1" applyBorder="1" applyAlignment="1">
      <alignment horizontal="left" indent="2"/>
    </xf>
    <xf numFmtId="5" fontId="16" fillId="0" borderId="0" xfId="1" applyNumberFormat="1" applyFont="1" applyFill="1"/>
    <xf numFmtId="166" fontId="4" fillId="0" borderId="0" xfId="6" applyNumberFormat="1" applyFont="1" applyFill="1" applyBorder="1" applyAlignment="1">
      <alignment horizontal="left" indent="2"/>
    </xf>
    <xf numFmtId="5" fontId="4" fillId="0" borderId="0" xfId="3" applyNumberFormat="1" applyFont="1" applyFill="1" applyBorder="1" applyAlignment="1">
      <alignment readingOrder="1"/>
    </xf>
    <xf numFmtId="0" fontId="16" fillId="0" borderId="0" xfId="5" applyFont="1" applyFill="1" applyBorder="1" applyAlignment="1">
      <alignment horizontal="left" indent="2"/>
    </xf>
    <xf numFmtId="165" fontId="7" fillId="0" borderId="0" xfId="3" applyNumberFormat="1" applyFont="1" applyFill="1" applyBorder="1"/>
    <xf numFmtId="5" fontId="4" fillId="0" borderId="6" xfId="3" applyNumberFormat="1" applyFont="1" applyFill="1" applyBorder="1"/>
    <xf numFmtId="5" fontId="7" fillId="0" borderId="0" xfId="3" applyNumberFormat="1" applyFont="1" applyFill="1" applyBorder="1"/>
    <xf numFmtId="37" fontId="4" fillId="0" borderId="12" xfId="3" applyNumberFormat="1" applyFont="1" applyFill="1" applyBorder="1" applyAlignment="1"/>
    <xf numFmtId="37" fontId="4" fillId="2" borderId="12" xfId="3" applyNumberFormat="1" applyFont="1" applyFill="1" applyBorder="1" applyAlignment="1"/>
    <xf numFmtId="0" fontId="5" fillId="0" borderId="0" xfId="5" applyFont="1" applyFill="1" applyBorder="1" applyAlignment="1">
      <alignment horizontal="left" indent="1"/>
    </xf>
    <xf numFmtId="5" fontId="16" fillId="0" borderId="0" xfId="5" applyNumberFormat="1" applyFont="1" applyFill="1" applyBorder="1"/>
    <xf numFmtId="37" fontId="16" fillId="0" borderId="13" xfId="1" applyNumberFormat="1" applyFont="1" applyFill="1" applyBorder="1"/>
    <xf numFmtId="37" fontId="16" fillId="2" borderId="13" xfId="1" applyNumberFormat="1" applyFont="1" applyFill="1" applyBorder="1"/>
    <xf numFmtId="37" fontId="16" fillId="0" borderId="14" xfId="1" applyNumberFormat="1" applyFont="1" applyFill="1" applyBorder="1"/>
    <xf numFmtId="37" fontId="5" fillId="3" borderId="13" xfId="1" applyNumberFormat="1" applyFont="1" applyFill="1" applyBorder="1"/>
    <xf numFmtId="37" fontId="5" fillId="4" borderId="13" xfId="1" applyNumberFormat="1" applyFont="1" applyFill="1" applyBorder="1"/>
    <xf numFmtId="166" fontId="7" fillId="0" borderId="0" xfId="3" applyNumberFormat="1" applyFont="1" applyFill="1" applyBorder="1" applyAlignment="1">
      <alignment horizontal="left"/>
    </xf>
    <xf numFmtId="5" fontId="7" fillId="0" borderId="10" xfId="3" applyNumberFormat="1" applyFont="1" applyFill="1" applyBorder="1"/>
    <xf numFmtId="37" fontId="15" fillId="0" borderId="4" xfId="3" applyNumberFormat="1" applyFont="1" applyFill="1" applyBorder="1"/>
    <xf numFmtId="37" fontId="15" fillId="0" borderId="10" xfId="1" applyNumberFormat="1" applyFont="1" applyFill="1" applyBorder="1"/>
    <xf numFmtId="37" fontId="15" fillId="3" borderId="11" xfId="3" applyNumberFormat="1" applyFont="1" applyFill="1" applyBorder="1"/>
    <xf numFmtId="37" fontId="15" fillId="4" borderId="11" xfId="3" applyNumberFormat="1" applyFont="1" applyFill="1" applyBorder="1"/>
    <xf numFmtId="166" fontId="7" fillId="0" borderId="0" xfId="3" applyNumberFormat="1" applyFont="1" applyFill="1" applyBorder="1" applyAlignment="1">
      <alignment horizontal="left" indent="3"/>
    </xf>
    <xf numFmtId="37" fontId="7" fillId="0" borderId="4" xfId="3" applyNumberFormat="1" applyFont="1" applyFill="1" applyBorder="1"/>
    <xf numFmtId="37" fontId="7" fillId="2" borderId="4" xfId="3" applyNumberFormat="1" applyFont="1" applyFill="1" applyBorder="1"/>
    <xf numFmtId="37" fontId="7" fillId="0" borderId="0" xfId="3" applyNumberFormat="1" applyFont="1" applyFill="1" applyBorder="1"/>
    <xf numFmtId="37" fontId="7" fillId="3" borderId="4" xfId="3" applyNumberFormat="1" applyFont="1" applyFill="1" applyBorder="1"/>
    <xf numFmtId="37" fontId="7" fillId="4" borderId="4" xfId="3" applyNumberFormat="1" applyFont="1" applyFill="1" applyBorder="1"/>
    <xf numFmtId="37" fontId="7" fillId="0" borderId="4" xfId="1" applyNumberFormat="1" applyFont="1" applyFill="1" applyBorder="1"/>
    <xf numFmtId="37" fontId="7" fillId="2" borderId="4" xfId="1" applyNumberFormat="1" applyFont="1" applyFill="1" applyBorder="1"/>
    <xf numFmtId="37" fontId="7" fillId="0" borderId="0" xfId="3" applyNumberFormat="1" applyFont="1" applyFill="1" applyBorder="1" applyAlignment="1"/>
    <xf numFmtId="5" fontId="7" fillId="0" borderId="15" xfId="3" applyNumberFormat="1" applyFont="1" applyFill="1" applyBorder="1"/>
    <xf numFmtId="164" fontId="15" fillId="0" borderId="16" xfId="1" applyNumberFormat="1" applyFont="1" applyFill="1" applyBorder="1" applyAlignment="1">
      <alignment vertical="center"/>
    </xf>
    <xf numFmtId="164" fontId="15" fillId="2" borderId="16" xfId="1" applyNumberFormat="1" applyFont="1" applyFill="1" applyBorder="1" applyAlignment="1">
      <alignment vertical="center"/>
    </xf>
    <xf numFmtId="164" fontId="14" fillId="0" borderId="0" xfId="0" applyNumberFormat="1" applyFont="1" applyAlignment="1">
      <alignment vertical="center"/>
    </xf>
    <xf numFmtId="164" fontId="15" fillId="5" borderId="16" xfId="1" applyNumberFormat="1" applyFont="1" applyFill="1" applyBorder="1" applyAlignment="1">
      <alignment vertical="center"/>
    </xf>
    <xf numFmtId="164" fontId="15" fillId="0" borderId="15" xfId="1" applyNumberFormat="1" applyFont="1" applyFill="1" applyBorder="1" applyAlignment="1">
      <alignment vertical="center"/>
    </xf>
    <xf numFmtId="164" fontId="15" fillId="3" borderId="17" xfId="1" applyNumberFormat="1" applyFont="1" applyFill="1" applyBorder="1" applyAlignment="1">
      <alignment vertical="center"/>
    </xf>
    <xf numFmtId="164" fontId="17" fillId="6" borderId="11" xfId="1" applyNumberFormat="1" applyFont="1" applyFill="1" applyBorder="1" applyAlignment="1">
      <alignment vertical="center"/>
    </xf>
    <xf numFmtId="5" fontId="12" fillId="0" borderId="0" xfId="3" applyNumberFormat="1" applyFont="1" applyFill="1" applyBorder="1"/>
    <xf numFmtId="164" fontId="4" fillId="0" borderId="7" xfId="1" applyNumberFormat="1" applyFont="1" applyFill="1" applyBorder="1" applyAlignment="1"/>
    <xf numFmtId="165" fontId="4" fillId="0" borderId="7" xfId="3" applyNumberFormat="1" applyFont="1" applyFill="1" applyBorder="1" applyAlignment="1"/>
    <xf numFmtId="165" fontId="4" fillId="0" borderId="8" xfId="3" applyNumberFormat="1" applyFont="1" applyFill="1" applyBorder="1" applyAlignment="1"/>
    <xf numFmtId="165" fontId="4" fillId="0" borderId="9" xfId="3" applyNumberFormat="1" applyFont="1" applyFill="1" applyBorder="1" applyAlignment="1"/>
    <xf numFmtId="9" fontId="18" fillId="7" borderId="18" xfId="2" applyFont="1" applyFill="1" applyBorder="1" applyAlignment="1">
      <alignment horizontal="center"/>
    </xf>
    <xf numFmtId="0" fontId="19" fillId="0" borderId="0" xfId="5" applyFont="1" applyFill="1" applyBorder="1"/>
    <xf numFmtId="0" fontId="19" fillId="0" borderId="0" xfId="5" applyFont="1" applyFill="1"/>
    <xf numFmtId="164" fontId="19" fillId="0" borderId="0" xfId="1" applyNumberFormat="1" applyFont="1" applyFill="1" applyBorder="1"/>
    <xf numFmtId="0" fontId="20" fillId="0" borderId="0" xfId="5" applyFont="1" applyFill="1" applyBorder="1"/>
    <xf numFmtId="7" fontId="20" fillId="0" borderId="0" xfId="5" applyNumberFormat="1" applyFont="1" applyFill="1"/>
    <xf numFmtId="0" fontId="20" fillId="0" borderId="0" xfId="5" applyFont="1" applyFill="1"/>
    <xf numFmtId="0" fontId="21" fillId="7" borderId="7" xfId="5" applyFont="1" applyFill="1" applyBorder="1" applyAlignment="1">
      <alignment horizontal="center" wrapText="1"/>
    </xf>
    <xf numFmtId="0" fontId="22" fillId="0" borderId="0" xfId="5" applyFont="1" applyFill="1" applyBorder="1"/>
    <xf numFmtId="0" fontId="22" fillId="0" borderId="0" xfId="5" applyFont="1" applyFill="1"/>
    <xf numFmtId="0" fontId="23" fillId="0" borderId="0" xfId="5" applyFont="1" applyFill="1"/>
    <xf numFmtId="164" fontId="23" fillId="0" borderId="0" xfId="1" applyNumberFormat="1" applyFont="1" applyFill="1"/>
    <xf numFmtId="0" fontId="24" fillId="0" borderId="0" xfId="5" applyFont="1" applyFill="1" applyBorder="1"/>
    <xf numFmtId="0" fontId="24" fillId="0" borderId="0" xfId="5" applyFont="1" applyFill="1"/>
    <xf numFmtId="0" fontId="23" fillId="0" borderId="0" xfId="5" applyFont="1" applyFill="1" applyBorder="1"/>
    <xf numFmtId="164" fontId="19" fillId="0" borderId="0" xfId="1" applyNumberFormat="1" applyFont="1" applyFill="1"/>
    <xf numFmtId="164" fontId="25" fillId="0" borderId="0" xfId="1" applyNumberFormat="1" applyFont="1" applyFill="1"/>
    <xf numFmtId="0" fontId="8" fillId="0" borderId="0" xfId="5" applyFont="1" applyFill="1" applyBorder="1"/>
    <xf numFmtId="164" fontId="26" fillId="0" borderId="0" xfId="1" applyNumberFormat="1" applyFont="1" applyFill="1"/>
    <xf numFmtId="0" fontId="25" fillId="0" borderId="0" xfId="5" applyFont="1" applyFill="1" applyBorder="1"/>
    <xf numFmtId="0" fontId="25" fillId="0" borderId="0" xfId="5" applyFont="1" applyFill="1"/>
    <xf numFmtId="0" fontId="27" fillId="0" borderId="0" xfId="5" applyFont="1" applyFill="1" applyBorder="1"/>
    <xf numFmtId="0" fontId="27" fillId="0" borderId="0" xfId="5" applyFont="1" applyFill="1"/>
    <xf numFmtId="6" fontId="25" fillId="0" borderId="0" xfId="5" applyNumberFormat="1" applyFont="1" applyFill="1"/>
    <xf numFmtId="0" fontId="28" fillId="0" borderId="0" xfId="5" applyFont="1" applyFill="1" applyBorder="1"/>
    <xf numFmtId="0" fontId="28" fillId="0" borderId="0" xfId="5" applyFont="1" applyFill="1"/>
    <xf numFmtId="164" fontId="29" fillId="0" borderId="0" xfId="5" applyNumberFormat="1" applyFont="1" applyFill="1"/>
    <xf numFmtId="0" fontId="30" fillId="0" borderId="0" xfId="5" applyFont="1" applyFill="1" applyBorder="1"/>
    <xf numFmtId="0" fontId="30" fillId="0" borderId="0" xfId="5" applyFont="1" applyFill="1"/>
    <xf numFmtId="164" fontId="8" fillId="0" borderId="0" xfId="1" applyNumberFormat="1" applyFont="1" applyFill="1"/>
    <xf numFmtId="4" fontId="4" fillId="0" borderId="4" xfId="3" applyNumberFormat="1" applyFont="1" applyFill="1" applyBorder="1" applyAlignment="1"/>
    <xf numFmtId="4" fontId="4" fillId="0" borderId="4" xfId="1" applyNumberFormat="1" applyFont="1" applyFill="1" applyBorder="1" applyAlignment="1"/>
    <xf numFmtId="0" fontId="7" fillId="0" borderId="3" xfId="3" applyFont="1" applyFill="1" applyBorder="1" applyAlignment="1">
      <alignment horizontal="center" wrapText="1"/>
    </xf>
    <xf numFmtId="0" fontId="7" fillId="0" borderId="9" xfId="3" applyFont="1" applyFill="1" applyBorder="1" applyAlignment="1">
      <alignment horizontal="center" wrapText="1"/>
    </xf>
    <xf numFmtId="37" fontId="7" fillId="0" borderId="10" xfId="1" applyNumberFormat="1" applyFont="1" applyFill="1" applyBorder="1" applyAlignment="1"/>
    <xf numFmtId="37" fontId="4" fillId="0" borderId="0" xfId="1" applyNumberFormat="1" applyFont="1" applyFill="1" applyBorder="1" applyAlignment="1"/>
    <xf numFmtId="37" fontId="13" fillId="0" borderId="10" xfId="1" applyNumberFormat="1" applyFont="1" applyFill="1" applyBorder="1" applyAlignment="1"/>
    <xf numFmtId="37" fontId="4" fillId="0" borderId="6" xfId="1" applyNumberFormat="1" applyFont="1" applyFill="1" applyBorder="1" applyAlignment="1"/>
    <xf numFmtId="4" fontId="4" fillId="0" borderId="0" xfId="1" applyNumberFormat="1" applyFont="1" applyFill="1" applyBorder="1" applyAlignment="1"/>
    <xf numFmtId="37" fontId="15" fillId="0" borderId="0" xfId="3" applyNumberFormat="1" applyFont="1" applyFill="1" applyBorder="1"/>
    <xf numFmtId="37" fontId="7" fillId="0" borderId="0" xfId="1" applyNumberFormat="1" applyFont="1" applyFill="1" applyBorder="1"/>
    <xf numFmtId="164" fontId="15" fillId="5" borderId="15" xfId="1" applyNumberFormat="1" applyFont="1" applyFill="1" applyBorder="1" applyAlignment="1">
      <alignment vertical="center"/>
    </xf>
    <xf numFmtId="4" fontId="12" fillId="0" borderId="0" xfId="1" applyNumberFormat="1" applyFont="1" applyFill="1" applyBorder="1" applyAlignment="1"/>
    <xf numFmtId="0" fontId="7" fillId="0" borderId="2" xfId="3" applyFont="1" applyFill="1" applyBorder="1" applyAlignment="1">
      <alignment horizontal="center" wrapText="1"/>
    </xf>
    <xf numFmtId="0" fontId="7" fillId="0" borderId="5" xfId="3" applyFont="1" applyFill="1" applyBorder="1" applyAlignment="1">
      <alignment horizontal="center" wrapText="1"/>
    </xf>
    <xf numFmtId="0" fontId="7" fillId="0" borderId="8" xfId="3" applyFont="1" applyFill="1" applyBorder="1" applyAlignment="1">
      <alignment horizontal="center" wrapText="1"/>
    </xf>
    <xf numFmtId="4" fontId="12" fillId="0" borderId="4" xfId="1" applyNumberFormat="1" applyFont="1" applyFill="1" applyBorder="1" applyAlignment="1"/>
    <xf numFmtId="37" fontId="8" fillId="0" borderId="0" xfId="5" applyNumberFormat="1" applyFont="1" applyFill="1" applyBorder="1"/>
    <xf numFmtId="37" fontId="20" fillId="0" borderId="0" xfId="5" applyNumberFormat="1" applyFont="1" applyFill="1" applyBorder="1"/>
    <xf numFmtId="167" fontId="0" fillId="0" borderId="0" xfId="130" applyNumberFormat="1" applyFont="1"/>
    <xf numFmtId="37" fontId="24" fillId="0" borderId="0" xfId="5" applyNumberFormat="1" applyFont="1" applyFill="1" applyBorder="1"/>
    <xf numFmtId="167" fontId="0" fillId="0" borderId="6" xfId="130" applyNumberFormat="1" applyFont="1" applyBorder="1"/>
    <xf numFmtId="37" fontId="16" fillId="0" borderId="0" xfId="0" applyNumberFormat="1" applyFont="1"/>
    <xf numFmtId="37" fontId="0" fillId="0" borderId="6" xfId="0" applyNumberFormat="1" applyBorder="1"/>
    <xf numFmtId="37" fontId="0" fillId="0" borderId="0" xfId="1" applyNumberFormat="1" applyFont="1"/>
    <xf numFmtId="37" fontId="34" fillId="0" borderId="0" xfId="1" applyNumberFormat="1" applyFont="1" applyFill="1" applyBorder="1" applyAlignment="1"/>
    <xf numFmtId="37" fontId="34" fillId="0" borderId="6" xfId="3" applyNumberFormat="1" applyFont="1" applyFill="1" applyBorder="1" applyAlignment="1"/>
    <xf numFmtId="37" fontId="6" fillId="0" borderId="0" xfId="0" applyNumberFormat="1" applyFont="1"/>
    <xf numFmtId="37" fontId="0" fillId="0" borderId="0" xfId="130" applyNumberFormat="1" applyFont="1"/>
    <xf numFmtId="37" fontId="0" fillId="0" borderId="0" xfId="0" quotePrefix="1" applyNumberFormat="1"/>
    <xf numFmtId="37" fontId="0" fillId="0" borderId="6" xfId="1" applyNumberFormat="1" applyFont="1" applyBorder="1"/>
    <xf numFmtId="0" fontId="0" fillId="0" borderId="0" xfId="0" applyFill="1"/>
    <xf numFmtId="5" fontId="4" fillId="0" borderId="7" xfId="3" applyNumberFormat="1" applyFont="1" applyFill="1" applyBorder="1" applyAlignment="1"/>
    <xf numFmtId="3" fontId="4" fillId="0" borderId="4" xfId="3" applyNumberFormat="1" applyFont="1" applyFill="1" applyBorder="1" applyAlignment="1"/>
    <xf numFmtId="0" fontId="25" fillId="8" borderId="0" xfId="5" applyFont="1" applyFill="1"/>
    <xf numFmtId="164" fontId="22" fillId="8" borderId="0" xfId="1" applyNumberFormat="1" applyFont="1" applyFill="1"/>
    <xf numFmtId="0" fontId="23" fillId="8" borderId="0" xfId="5" applyFont="1" applyFill="1"/>
    <xf numFmtId="164" fontId="23" fillId="8" borderId="0" xfId="1" applyNumberFormat="1" applyFont="1" applyFill="1"/>
    <xf numFmtId="37" fontId="4" fillId="8" borderId="0" xfId="3" applyNumberFormat="1" applyFont="1" applyFill="1" applyBorder="1" applyAlignment="1"/>
    <xf numFmtId="0" fontId="13" fillId="0" borderId="0" xfId="5" applyFont="1" applyFill="1" applyBorder="1"/>
    <xf numFmtId="164" fontId="20" fillId="0" borderId="0" xfId="5" applyNumberFormat="1" applyFont="1" applyFill="1"/>
    <xf numFmtId="37" fontId="25" fillId="0" borderId="0" xfId="0" applyNumberFormat="1" applyFont="1"/>
    <xf numFmtId="0" fontId="16" fillId="0" borderId="0" xfId="0" applyFont="1"/>
    <xf numFmtId="164" fontId="15" fillId="5" borderId="19" xfId="1" applyNumberFormat="1" applyFont="1" applyFill="1" applyBorder="1" applyAlignment="1">
      <alignment vertical="center"/>
    </xf>
    <xf numFmtId="37" fontId="16" fillId="0" borderId="1" xfId="0" applyNumberFormat="1" applyFont="1" applyBorder="1"/>
    <xf numFmtId="37" fontId="16" fillId="0" borderId="4" xfId="0" applyNumberFormat="1" applyFont="1" applyBorder="1"/>
    <xf numFmtId="37" fontId="16" fillId="0" borderId="7" xfId="0" applyNumberFormat="1" applyFont="1" applyBorder="1"/>
    <xf numFmtId="37" fontId="16" fillId="0" borderId="12" xfId="0" applyNumberFormat="1" applyFont="1" applyBorder="1"/>
    <xf numFmtId="37" fontId="16" fillId="0" borderId="13" xfId="0" applyNumberFormat="1" applyFont="1" applyBorder="1"/>
    <xf numFmtId="0" fontId="16" fillId="0" borderId="1" xfId="0" applyFont="1" applyBorder="1"/>
    <xf numFmtId="0" fontId="16" fillId="0" borderId="4" xfId="0" applyFont="1" applyBorder="1"/>
    <xf numFmtId="0" fontId="16" fillId="0" borderId="7" xfId="0" applyFont="1" applyBorder="1"/>
    <xf numFmtId="0" fontId="16" fillId="0" borderId="12" xfId="0" applyFont="1" applyBorder="1"/>
    <xf numFmtId="37" fontId="16" fillId="0" borderId="16" xfId="0" applyNumberFormat="1" applyFont="1" applyBorder="1"/>
    <xf numFmtId="0" fontId="25" fillId="0" borderId="0" xfId="0" applyFont="1"/>
    <xf numFmtId="37" fontId="25" fillId="0" borderId="6" xfId="0" applyNumberFormat="1" applyFont="1" applyBorder="1"/>
    <xf numFmtId="37" fontId="25" fillId="0" borderId="14" xfId="0" applyNumberFormat="1" applyFont="1" applyBorder="1"/>
    <xf numFmtId="37" fontId="16" fillId="4" borderId="13" xfId="0" applyNumberFormat="1" applyFont="1" applyFill="1" applyBorder="1"/>
    <xf numFmtId="37" fontId="5" fillId="0" borderId="7" xfId="0" applyNumberFormat="1" applyFont="1" applyBorder="1"/>
    <xf numFmtId="4" fontId="36" fillId="9" borderId="0" xfId="0" applyNumberFormat="1" applyFont="1" applyFill="1" applyAlignment="1">
      <alignment horizontal="right" vertical="top"/>
    </xf>
    <xf numFmtId="4" fontId="36" fillId="0" borderId="20" xfId="0" applyNumberFormat="1" applyFont="1" applyBorder="1" applyAlignment="1">
      <alignment horizontal="right" vertical="top"/>
    </xf>
    <xf numFmtId="0" fontId="36" fillId="9" borderId="0" xfId="0" applyFont="1" applyFill="1" applyAlignment="1">
      <alignment horizontal="left" vertical="top"/>
    </xf>
    <xf numFmtId="14" fontId="0" fillId="0" borderId="0" xfId="0" quotePrefix="1" applyNumberFormat="1"/>
    <xf numFmtId="0" fontId="0" fillId="0" borderId="0" xfId="0" quotePrefix="1"/>
    <xf numFmtId="4" fontId="0" fillId="0" borderId="0" xfId="0" applyNumberFormat="1"/>
    <xf numFmtId="4" fontId="36" fillId="0" borderId="0" xfId="0" applyNumberFormat="1" applyFont="1" applyBorder="1" applyAlignment="1">
      <alignment horizontal="right" vertical="top"/>
    </xf>
    <xf numFmtId="37" fontId="4" fillId="10" borderId="0" xfId="3" applyNumberFormat="1" applyFont="1" applyFill="1" applyBorder="1" applyAlignment="1"/>
    <xf numFmtId="0" fontId="13" fillId="10" borderId="0" xfId="5" applyFont="1" applyFill="1"/>
    <xf numFmtId="0" fontId="26" fillId="0" borderId="0" xfId="5" applyFont="1" applyFill="1" applyAlignment="1">
      <alignment horizontal="left" wrapText="1"/>
    </xf>
    <xf numFmtId="0" fontId="7" fillId="4" borderId="1" xfId="3" applyFont="1" applyFill="1" applyBorder="1" applyAlignment="1">
      <alignment horizontal="center" wrapText="1"/>
    </xf>
    <xf numFmtId="0" fontId="7" fillId="4" borderId="4" xfId="3" applyFont="1" applyFill="1" applyBorder="1" applyAlignment="1">
      <alignment horizontal="center" wrapText="1"/>
    </xf>
    <xf numFmtId="0" fontId="7" fillId="4" borderId="7" xfId="3" applyFont="1" applyFill="1" applyBorder="1" applyAlignment="1">
      <alignment horizontal="center" wrapText="1"/>
    </xf>
    <xf numFmtId="0" fontId="9" fillId="0" borderId="0" xfId="3" applyFont="1" applyFill="1" applyBorder="1" applyAlignment="1">
      <alignment horizontal="center"/>
    </xf>
    <xf numFmtId="0" fontId="10" fillId="0" borderId="0" xfId="0" applyFont="1" applyBorder="1" applyAlignment="1">
      <alignment horizontal="center" vertical="top"/>
    </xf>
    <xf numFmtId="0" fontId="11" fillId="0" borderId="0" xfId="0" applyFont="1" applyBorder="1" applyAlignment="1">
      <alignment horizontal="center" vertical="top"/>
    </xf>
    <xf numFmtId="0" fontId="7" fillId="0" borderId="0" xfId="3" applyFont="1" applyFill="1" applyBorder="1" applyAlignment="1">
      <alignment horizontal="center" wrapText="1"/>
    </xf>
    <xf numFmtId="0" fontId="7" fillId="0" borderId="6" xfId="3" applyFont="1" applyFill="1" applyBorder="1" applyAlignment="1">
      <alignment horizontal="center" wrapText="1"/>
    </xf>
    <xf numFmtId="164" fontId="7" fillId="0" borderId="1" xfId="1" applyNumberFormat="1" applyFont="1" applyFill="1" applyBorder="1" applyAlignment="1">
      <alignment horizontal="center" wrapText="1"/>
    </xf>
    <xf numFmtId="164" fontId="7" fillId="0" borderId="4" xfId="1" applyNumberFormat="1" applyFont="1" applyFill="1" applyBorder="1" applyAlignment="1">
      <alignment horizontal="center" wrapText="1"/>
    </xf>
    <xf numFmtId="164" fontId="7" fillId="0" borderId="7" xfId="1" applyNumberFormat="1" applyFont="1" applyFill="1" applyBorder="1" applyAlignment="1">
      <alignment horizontal="center" wrapText="1"/>
    </xf>
    <xf numFmtId="164" fontId="7" fillId="2" borderId="1" xfId="1" applyNumberFormat="1" applyFont="1" applyFill="1" applyBorder="1" applyAlignment="1">
      <alignment horizontal="center" wrapText="1"/>
    </xf>
    <xf numFmtId="164" fontId="7" fillId="2" borderId="4" xfId="1" applyNumberFormat="1" applyFont="1" applyFill="1" applyBorder="1" applyAlignment="1">
      <alignment horizontal="center" wrapText="1"/>
    </xf>
    <xf numFmtId="164" fontId="7" fillId="2" borderId="7" xfId="1" applyNumberFormat="1" applyFont="1" applyFill="1" applyBorder="1" applyAlignment="1">
      <alignment horizontal="center" wrapText="1"/>
    </xf>
    <xf numFmtId="0" fontId="7" fillId="0" borderId="2" xfId="3" applyFont="1" applyFill="1" applyBorder="1" applyAlignment="1">
      <alignment horizontal="center" wrapText="1"/>
    </xf>
    <xf numFmtId="0" fontId="7" fillId="0" borderId="5" xfId="3" applyFont="1" applyFill="1" applyBorder="1" applyAlignment="1">
      <alignment horizontal="center" wrapText="1"/>
    </xf>
    <xf numFmtId="0" fontId="7" fillId="0" borderId="8" xfId="3" applyFont="1" applyFill="1" applyBorder="1" applyAlignment="1">
      <alignment horizontal="center" wrapText="1"/>
    </xf>
    <xf numFmtId="0" fontId="7" fillId="0" borderId="1" xfId="3" applyFont="1" applyFill="1" applyBorder="1" applyAlignment="1">
      <alignment horizontal="center" wrapText="1"/>
    </xf>
    <xf numFmtId="0" fontId="7" fillId="0" borderId="4" xfId="3" applyFont="1" applyFill="1" applyBorder="1" applyAlignment="1">
      <alignment horizontal="center" wrapText="1"/>
    </xf>
    <xf numFmtId="0" fontId="7" fillId="0" borderId="7" xfId="3" applyFont="1" applyFill="1" applyBorder="1" applyAlignment="1">
      <alignment horizontal="center" wrapText="1"/>
    </xf>
    <xf numFmtId="0" fontId="7" fillId="0" borderId="3" xfId="3" applyFont="1" applyFill="1" applyBorder="1" applyAlignment="1">
      <alignment horizontal="center" wrapText="1"/>
    </xf>
    <xf numFmtId="0" fontId="7" fillId="0" borderId="9" xfId="3" applyFont="1" applyFill="1" applyBorder="1" applyAlignment="1">
      <alignment horizontal="center" wrapText="1"/>
    </xf>
    <xf numFmtId="0" fontId="7" fillId="3" borderId="1" xfId="3" applyFont="1" applyFill="1" applyBorder="1" applyAlignment="1">
      <alignment horizontal="center" wrapText="1"/>
    </xf>
    <xf numFmtId="0" fontId="7" fillId="3" borderId="4" xfId="3" applyFont="1" applyFill="1" applyBorder="1" applyAlignment="1">
      <alignment horizontal="center" wrapText="1"/>
    </xf>
    <xf numFmtId="0" fontId="7" fillId="3" borderId="7" xfId="3" applyFont="1" applyFill="1" applyBorder="1" applyAlignment="1">
      <alignment horizontal="center" wrapText="1"/>
    </xf>
    <xf numFmtId="0" fontId="5" fillId="0" borderId="1" xfId="0" applyFont="1" applyBorder="1" applyAlignment="1">
      <alignment horizontal="center" wrapText="1"/>
    </xf>
    <xf numFmtId="0" fontId="5" fillId="0" borderId="4" xfId="0" applyFont="1" applyBorder="1" applyAlignment="1">
      <alignment horizontal="center" wrapText="1"/>
    </xf>
    <xf numFmtId="0" fontId="5" fillId="0" borderId="7" xfId="0" applyFont="1" applyBorder="1" applyAlignment="1">
      <alignment horizontal="center" wrapText="1"/>
    </xf>
    <xf numFmtId="0" fontId="33" fillId="0" borderId="0" xfId="0" applyFont="1" applyAlignment="1">
      <alignment horizontal="center"/>
    </xf>
    <xf numFmtId="0" fontId="35" fillId="0" borderId="0" xfId="0" applyFont="1" applyAlignment="1">
      <alignment horizontal="center"/>
    </xf>
  </cellXfs>
  <cellStyles count="131">
    <cellStyle name="Comma" xfId="130" builtinId="3"/>
    <cellStyle name="Comma 10" xfId="7"/>
    <cellStyle name="Comma 10 2" xfId="8"/>
    <cellStyle name="Comma 10 3" xfId="9"/>
    <cellStyle name="Comma 10 4" xfId="10"/>
    <cellStyle name="Comma 2" xfId="11"/>
    <cellStyle name="Comma 2 10" xfId="12"/>
    <cellStyle name="Comma 2 11" xfId="13"/>
    <cellStyle name="Comma 2 12" xfId="14"/>
    <cellStyle name="Comma 2 13" xfId="15"/>
    <cellStyle name="Comma 2 13 2" xfId="16"/>
    <cellStyle name="Comma 2 2" xfId="17"/>
    <cellStyle name="Comma 2 3" xfId="18"/>
    <cellStyle name="Comma 2 4" xfId="19"/>
    <cellStyle name="Comma 2 5" xfId="20"/>
    <cellStyle name="Comma 2 6" xfId="21"/>
    <cellStyle name="Comma 2 7" xfId="22"/>
    <cellStyle name="Comma 2 8" xfId="23"/>
    <cellStyle name="Comma 2 9" xfId="24"/>
    <cellStyle name="Comma 3" xfId="25"/>
    <cellStyle name="Comma 4" xfId="26"/>
    <cellStyle name="Comma 4 2" xfId="27"/>
    <cellStyle name="Comma 4 3" xfId="28"/>
    <cellStyle name="Comma 4 4" xfId="29"/>
    <cellStyle name="Comma 7" xfId="30"/>
    <cellStyle name="Comma 7 2" xfId="31"/>
    <cellStyle name="Comma 7 3" xfId="32"/>
    <cellStyle name="Comma 7 4" xfId="33"/>
    <cellStyle name="Comma 8" xfId="34"/>
    <cellStyle name="Comma 8 2" xfId="35"/>
    <cellStyle name="Comma 8 3" xfId="36"/>
    <cellStyle name="Comma 8 4" xfId="37"/>
    <cellStyle name="Currency" xfId="1" builtinId="4"/>
    <cellStyle name="Currency 2" xfId="38"/>
    <cellStyle name="Currency 2 2" xfId="39"/>
    <cellStyle name="Currency 2 3" xfId="40"/>
    <cellStyle name="Currency 2 4" xfId="41"/>
    <cellStyle name="Currency 3" xfId="42"/>
    <cellStyle name="Currency 3 2" xfId="43"/>
    <cellStyle name="Currency 4" xfId="44"/>
    <cellStyle name="Currency 4 2" xfId="45"/>
    <cellStyle name="Currency 5" xfId="46"/>
    <cellStyle name="Currency 9" xfId="47"/>
    <cellStyle name="Currency 9 2" xfId="48"/>
    <cellStyle name="Currency 9 3" xfId="49"/>
    <cellStyle name="Currency 9 4" xfId="50"/>
    <cellStyle name="Normal" xfId="0" builtinId="0"/>
    <cellStyle name="Normal 10" xfId="51"/>
    <cellStyle name="Normal 10 2" xfId="6"/>
    <cellStyle name="Normal 11" xfId="52"/>
    <cellStyle name="Normal 2" xfId="53"/>
    <cellStyle name="Normal 2 2" xfId="54"/>
    <cellStyle name="Normal 2 3" xfId="55"/>
    <cellStyle name="Normal 2 3 2" xfId="5"/>
    <cellStyle name="Normal 2 4" xfId="56"/>
    <cellStyle name="Normal 2 5" xfId="57"/>
    <cellStyle name="Normal 2 6" xfId="58"/>
    <cellStyle name="Normal 2 6 2" xfId="59"/>
    <cellStyle name="Normal 2 7" xfId="60"/>
    <cellStyle name="Normal 3" xfId="61"/>
    <cellStyle name="Normal 3 2" xfId="62"/>
    <cellStyle name="Normal 3 2 2" xfId="63"/>
    <cellStyle name="Normal 3 2 2 2" xfId="64"/>
    <cellStyle name="Normal 3 2 3" xfId="65"/>
    <cellStyle name="Normal 3 2 3 2" xfId="66"/>
    <cellStyle name="Normal 3 2 4" xfId="67"/>
    <cellStyle name="Normal 3 2 4 2" xfId="68"/>
    <cellStyle name="Normal 3 2 5" xfId="69"/>
    <cellStyle name="Normal 3 3" xfId="70"/>
    <cellStyle name="Normal 3 3 2" xfId="71"/>
    <cellStyle name="Normal 3 3 2 2" xfId="72"/>
    <cellStyle name="Normal 3 3 3" xfId="73"/>
    <cellStyle name="Normal 3 3 3 2" xfId="74"/>
    <cellStyle name="Normal 3 3 4" xfId="75"/>
    <cellStyle name="Normal 3 3 4 2" xfId="76"/>
    <cellStyle name="Normal 3 3 5" xfId="77"/>
    <cellStyle name="Normal 3 4" xfId="78"/>
    <cellStyle name="Normal 3 4 2" xfId="79"/>
    <cellStyle name="Normal 3 4 2 2" xfId="80"/>
    <cellStyle name="Normal 3 4 3" xfId="81"/>
    <cellStyle name="Normal 3 4 3 2" xfId="82"/>
    <cellStyle name="Normal 3 4 4" xfId="83"/>
    <cellStyle name="Normal 3 4 4 2" xfId="84"/>
    <cellStyle name="Normal 3 4 5" xfId="4"/>
    <cellStyle name="Normal 3 4 5 2" xfId="85"/>
    <cellStyle name="Normal 3 4 6" xfId="86"/>
    <cellStyle name="Normal 3 5" xfId="87"/>
    <cellStyle name="Normal 3 6" xfId="88"/>
    <cellStyle name="Normal 3 7" xfId="89"/>
    <cellStyle name="Normal 3 8" xfId="90"/>
    <cellStyle name="Normal 3_Summary_VP_FiscalOps_Departmental Finance Statements" xfId="91"/>
    <cellStyle name="Normal 4" xfId="92"/>
    <cellStyle name="Normal 4 2" xfId="93"/>
    <cellStyle name="Normal 4 3" xfId="94"/>
    <cellStyle name="Normal 4 4" xfId="95"/>
    <cellStyle name="Normal 5" xfId="96"/>
    <cellStyle name="Normal 5 2" xfId="97"/>
    <cellStyle name="Normal 5 3" xfId="98"/>
    <cellStyle name="Normal 5 4" xfId="99"/>
    <cellStyle name="Normal 6" xfId="100"/>
    <cellStyle name="Normal 6 2" xfId="101"/>
    <cellStyle name="Normal 6 3" xfId="102"/>
    <cellStyle name="Normal 6 4" xfId="103"/>
    <cellStyle name="Normal 7" xfId="104"/>
    <cellStyle name="Normal 7 2" xfId="105"/>
    <cellStyle name="Normal 7 3" xfId="106"/>
    <cellStyle name="Normal 7 4" xfId="107"/>
    <cellStyle name="Normal 8" xfId="108"/>
    <cellStyle name="Normal 8 2" xfId="109"/>
    <cellStyle name="Normal 8 3" xfId="110"/>
    <cellStyle name="Normal 8 4" xfId="111"/>
    <cellStyle name="Normal 9" xfId="112"/>
    <cellStyle name="Normal 9 2" xfId="113"/>
    <cellStyle name="Normal 9 3" xfId="114"/>
    <cellStyle name="Normal_FY08 Combined Parking FY09 2" xfId="3"/>
    <cellStyle name="Percent" xfId="2" builtinId="5"/>
    <cellStyle name="Percent 2" xfId="115"/>
    <cellStyle name="Percent 2 2" xfId="116"/>
    <cellStyle name="Percent 2 3" xfId="117"/>
    <cellStyle name="Percent 2 4" xfId="118"/>
    <cellStyle name="Percent 2 5" xfId="119"/>
    <cellStyle name="Percent 2 6" xfId="120"/>
    <cellStyle name="Percent 2 6 2" xfId="121"/>
    <cellStyle name="Percent 3" xfId="122"/>
    <cellStyle name="Percent 3 2" xfId="123"/>
    <cellStyle name="Percent 4" xfId="124"/>
    <cellStyle name="Percent 4 2" xfId="125"/>
    <cellStyle name="Percent 5" xfId="126"/>
    <cellStyle name="Percent 6" xfId="127"/>
    <cellStyle name="Percent 7" xfId="128"/>
    <cellStyle name="Style 1" xfId="1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nnect.wayne.edu/Budget%20Development/Auxiliary/FY2009/FY09%20Contract%20Servic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MyDocuments\Budget%20Development\BAO%20GF%200326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_L"/>
      <sheetName val="Variance_Assumptions"/>
      <sheetName val="FTE Historical"/>
      <sheetName val="Productivity"/>
      <sheetName val="Performance Measures"/>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cials"/>
      <sheetName val="BAO Roll up"/>
      <sheetName val="43A13 AVP Office"/>
      <sheetName val="43A14 Tech Support"/>
      <sheetName val="43A31 One Card"/>
      <sheetName val="Leasing Retail Services"/>
      <sheetName val="Mail Receiving Consolidated"/>
      <sheetName val="43A41 Mail Room Adm"/>
      <sheetName val="43A42 Postage"/>
      <sheetName val="43A431 Receiving Adm"/>
      <sheetName val="43A49 Addressing"/>
      <sheetName val="Original"/>
    </sheetNames>
    <sheetDataSet>
      <sheetData sheetId="0" refreshError="1"/>
      <sheetData sheetId="1" refreshError="1">
        <row r="8">
          <cell r="H8">
            <v>-650</v>
          </cell>
        </row>
        <row r="13">
          <cell r="C13">
            <v>-78377.539999999994</v>
          </cell>
        </row>
        <row r="34">
          <cell r="C34">
            <v>361690.85</v>
          </cell>
        </row>
        <row r="40">
          <cell r="C40">
            <v>1665933.3699999996</v>
          </cell>
        </row>
        <row r="48">
          <cell r="C48">
            <v>5654</v>
          </cell>
        </row>
        <row r="52">
          <cell r="C52">
            <v>4025</v>
          </cell>
        </row>
        <row r="54">
          <cell r="C54">
            <v>109549.93</v>
          </cell>
        </row>
        <row r="59">
          <cell r="C59">
            <v>23064.720000000001</v>
          </cell>
        </row>
        <row r="73">
          <cell r="C73">
            <v>349749.84000000008</v>
          </cell>
        </row>
        <row r="77">
          <cell r="C77">
            <v>1798</v>
          </cell>
        </row>
        <row r="83">
          <cell r="C83">
            <v>38049.379999999997</v>
          </cell>
        </row>
        <row r="91">
          <cell r="C91">
            <v>1068019.08</v>
          </cell>
        </row>
        <row r="100">
          <cell r="C100">
            <v>88143.98</v>
          </cell>
        </row>
        <row r="101">
          <cell r="C101">
            <v>-1295212.74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2"/>
  <sheetViews>
    <sheetView showGridLines="0" tabSelected="1" topLeftCell="A6" zoomScale="85" zoomScaleNormal="85" workbookViewId="0">
      <selection activeCell="M27" sqref="M27"/>
    </sheetView>
  </sheetViews>
  <sheetFormatPr defaultColWidth="9.109375" defaultRowHeight="13.2"/>
  <cols>
    <col min="1" max="1" width="4.109375" style="140" customWidth="1"/>
    <col min="2" max="2" width="41.88671875" style="6" customWidth="1"/>
    <col min="3" max="3" width="16.5546875" style="6" hidden="1" customWidth="1"/>
    <col min="4" max="4" width="2" style="141" hidden="1" customWidth="1"/>
    <col min="5" max="5" width="3.5546875" style="141" customWidth="1"/>
    <col min="6" max="6" width="16.88671875" style="142" customWidth="1"/>
    <col min="7" max="7" width="16.109375" style="130" customWidth="1"/>
    <col min="8" max="8" width="2.6640625" style="130" customWidth="1"/>
    <col min="9" max="9" width="15.88671875" style="6" customWidth="1"/>
    <col min="10" max="10" width="3.44140625" style="6" customWidth="1"/>
    <col min="11" max="11" width="19.88671875" style="6" customWidth="1"/>
    <col min="12" max="12" width="4.44140625" style="6" customWidth="1"/>
    <col min="13" max="13" width="19.88671875" style="6" customWidth="1"/>
    <col min="14" max="14" width="17.6640625" style="6" customWidth="1"/>
    <col min="15" max="15" width="2.6640625" style="6" customWidth="1"/>
    <col min="16" max="16" width="17" style="6" customWidth="1"/>
    <col min="17" max="17" width="3.6640625" style="6" customWidth="1"/>
    <col min="18" max="18" width="14" style="6" bestFit="1" customWidth="1"/>
    <col min="19" max="19" width="10.5546875" style="6" bestFit="1" customWidth="1"/>
    <col min="20" max="20" width="14" style="6" bestFit="1" customWidth="1"/>
    <col min="21" max="16384" width="9.109375" style="6"/>
  </cols>
  <sheetData>
    <row r="1" spans="1:19" ht="13.8">
      <c r="A1" s="1"/>
      <c r="B1" s="2"/>
      <c r="C1" s="1"/>
      <c r="D1" s="1"/>
      <c r="E1" s="1"/>
      <c r="F1" s="3"/>
      <c r="G1" s="1"/>
      <c r="H1" s="1"/>
      <c r="I1" s="4"/>
      <c r="J1" s="4"/>
      <c r="K1" s="4"/>
      <c r="L1" s="4"/>
      <c r="M1" s="4"/>
      <c r="N1" s="4"/>
      <c r="O1" s="4"/>
      <c r="P1" s="5"/>
      <c r="Q1" s="4"/>
    </row>
    <row r="2" spans="1:19" ht="25.2">
      <c r="A2" s="215" t="s">
        <v>29</v>
      </c>
      <c r="B2" s="215"/>
      <c r="C2" s="215"/>
      <c r="D2" s="215"/>
      <c r="E2" s="215"/>
      <c r="F2" s="215"/>
      <c r="G2" s="215"/>
      <c r="H2" s="215"/>
      <c r="I2" s="215"/>
      <c r="J2" s="215"/>
      <c r="K2" s="215"/>
      <c r="L2" s="215"/>
      <c r="M2" s="215"/>
      <c r="N2" s="215"/>
      <c r="O2" s="215"/>
      <c r="P2" s="215"/>
      <c r="Q2" s="4"/>
    </row>
    <row r="3" spans="1:19" ht="21">
      <c r="A3" s="216" t="s">
        <v>58</v>
      </c>
      <c r="B3" s="216"/>
      <c r="C3" s="216"/>
      <c r="D3" s="216"/>
      <c r="E3" s="216"/>
      <c r="F3" s="216"/>
      <c r="G3" s="216"/>
      <c r="H3" s="216"/>
      <c r="I3" s="216"/>
      <c r="J3" s="216"/>
      <c r="K3" s="216"/>
      <c r="L3" s="216"/>
      <c r="M3" s="216"/>
      <c r="N3" s="216"/>
      <c r="O3" s="216"/>
      <c r="P3" s="216"/>
      <c r="Q3" s="4"/>
    </row>
    <row r="4" spans="1:19" ht="17.399999999999999">
      <c r="A4" s="217" t="s">
        <v>106</v>
      </c>
      <c r="B4" s="217"/>
      <c r="C4" s="217"/>
      <c r="D4" s="217"/>
      <c r="E4" s="217"/>
      <c r="F4" s="217"/>
      <c r="G4" s="217"/>
      <c r="H4" s="217"/>
      <c r="I4" s="217"/>
      <c r="J4" s="217"/>
      <c r="K4" s="217"/>
      <c r="L4" s="217"/>
      <c r="M4" s="217"/>
      <c r="N4" s="217"/>
      <c r="O4" s="217"/>
      <c r="P4" s="217"/>
      <c r="Q4" s="4"/>
    </row>
    <row r="5" spans="1:19" ht="14.4" thickBot="1">
      <c r="A5" s="7"/>
      <c r="B5" s="7"/>
      <c r="C5" s="7"/>
      <c r="D5" s="7"/>
      <c r="E5" s="7"/>
      <c r="F5" s="7"/>
      <c r="G5" s="7"/>
      <c r="H5" s="7"/>
      <c r="I5" s="7"/>
      <c r="J5" s="7"/>
      <c r="K5" s="7"/>
      <c r="L5" s="7"/>
      <c r="M5" s="7"/>
      <c r="N5" s="7"/>
      <c r="O5" s="7"/>
      <c r="P5" s="7"/>
      <c r="Q5" s="4"/>
    </row>
    <row r="6" spans="1:19" ht="21" customHeight="1">
      <c r="A6" s="8"/>
      <c r="B6" s="9"/>
      <c r="C6" s="218" t="s">
        <v>0</v>
      </c>
      <c r="D6" s="8"/>
      <c r="E6" s="8"/>
      <c r="F6" s="220" t="s">
        <v>33</v>
      </c>
      <c r="G6" s="223" t="s">
        <v>34</v>
      </c>
      <c r="H6"/>
      <c r="I6" s="226" t="s">
        <v>108</v>
      </c>
      <c r="J6" s="156"/>
      <c r="K6" s="229" t="s">
        <v>109</v>
      </c>
      <c r="L6" s="145"/>
      <c r="M6" s="232" t="s">
        <v>59</v>
      </c>
      <c r="N6" s="234" t="s">
        <v>30</v>
      </c>
      <c r="O6"/>
      <c r="P6" s="212" t="s">
        <v>31</v>
      </c>
      <c r="Q6" s="8"/>
    </row>
    <row r="7" spans="1:19" ht="13.8">
      <c r="A7" s="8"/>
      <c r="B7" s="9"/>
      <c r="C7" s="218"/>
      <c r="D7" s="8"/>
      <c r="E7" s="8"/>
      <c r="F7" s="221"/>
      <c r="G7" s="224"/>
      <c r="H7"/>
      <c r="I7" s="227"/>
      <c r="J7" s="157"/>
      <c r="K7" s="230"/>
      <c r="L7" s="8"/>
      <c r="M7" s="218"/>
      <c r="N7" s="235"/>
      <c r="O7"/>
      <c r="P7" s="213"/>
      <c r="Q7" s="8"/>
    </row>
    <row r="8" spans="1:19" ht="20.399999999999999" customHeight="1" thickBot="1">
      <c r="A8" s="8"/>
      <c r="B8" s="9"/>
      <c r="C8" s="219"/>
      <c r="D8" s="8"/>
      <c r="E8" s="8"/>
      <c r="F8" s="222"/>
      <c r="G8" s="225"/>
      <c r="H8"/>
      <c r="I8" s="228"/>
      <c r="J8" s="158"/>
      <c r="K8" s="231"/>
      <c r="L8" s="146"/>
      <c r="M8" s="233"/>
      <c r="N8" s="236"/>
      <c r="O8"/>
      <c r="P8" s="214"/>
      <c r="Q8" s="8"/>
    </row>
    <row r="9" spans="1:19" ht="13.8">
      <c r="A9" s="8"/>
      <c r="B9" s="9"/>
      <c r="C9" s="10"/>
      <c r="D9" s="8"/>
      <c r="E9" s="8"/>
      <c r="F9" s="11"/>
      <c r="G9" s="12"/>
      <c r="H9"/>
      <c r="I9" s="13"/>
      <c r="J9" s="13"/>
      <c r="K9" s="14"/>
      <c r="L9" s="10"/>
      <c r="M9" s="10"/>
      <c r="N9" s="15"/>
      <c r="O9"/>
      <c r="P9" s="16"/>
      <c r="Q9" s="10"/>
    </row>
    <row r="10" spans="1:19" ht="13.8">
      <c r="A10" s="17"/>
      <c r="B10" s="18" t="s">
        <v>1</v>
      </c>
      <c r="C10" s="19"/>
      <c r="D10" s="17"/>
      <c r="E10" s="17"/>
      <c r="F10" s="20"/>
      <c r="G10" s="21"/>
      <c r="H10"/>
      <c r="I10" s="22"/>
      <c r="J10" s="22"/>
      <c r="K10" s="23"/>
      <c r="L10" s="19"/>
      <c r="M10" s="19"/>
      <c r="N10" s="24"/>
      <c r="O10"/>
      <c r="P10" s="25"/>
      <c r="Q10" s="19"/>
    </row>
    <row r="11" spans="1:19" ht="13.8">
      <c r="A11" s="17"/>
      <c r="B11" s="26" t="s">
        <v>2</v>
      </c>
      <c r="C11" s="27">
        <f>SUM('[2]BAO Roll up'!C13)</f>
        <v>-78377.539999999994</v>
      </c>
      <c r="D11" s="28"/>
      <c r="E11" s="17"/>
      <c r="F11" s="29">
        <v>0</v>
      </c>
      <c r="G11" s="30">
        <v>0</v>
      </c>
      <c r="H11" s="31"/>
      <c r="I11" s="29">
        <v>-171543.69</v>
      </c>
      <c r="J11" s="29"/>
      <c r="K11" s="29"/>
      <c r="L11" s="27"/>
      <c r="M11" s="27">
        <f>-(11000+6300)</f>
        <v>-17300</v>
      </c>
      <c r="N11" s="32">
        <f>SUM(I11:M11)</f>
        <v>-188843.69</v>
      </c>
      <c r="O11" s="31"/>
      <c r="P11" s="33">
        <f>+G11-N11</f>
        <v>188843.69</v>
      </c>
      <c r="Q11" s="27"/>
    </row>
    <row r="12" spans="1:19" ht="13.8">
      <c r="A12" s="34"/>
      <c r="B12" s="35" t="s">
        <v>3</v>
      </c>
      <c r="C12" s="36">
        <f>SUM(C11:C11)</f>
        <v>-78377.539999999994</v>
      </c>
      <c r="D12" s="37"/>
      <c r="E12" s="34"/>
      <c r="F12" s="38">
        <f>SUM(F11)</f>
        <v>0</v>
      </c>
      <c r="G12" s="39">
        <f>SUM(G11)</f>
        <v>0</v>
      </c>
      <c r="H12" s="40"/>
      <c r="I12" s="39">
        <f>SUM(I11)</f>
        <v>-171543.69</v>
      </c>
      <c r="J12" s="38"/>
      <c r="K12" s="38">
        <f>SUM(K11)</f>
        <v>0</v>
      </c>
      <c r="L12" s="147"/>
      <c r="M12" s="41">
        <f>SUM(M11:M11)</f>
        <v>-17300</v>
      </c>
      <c r="N12" s="42">
        <f>SUM(N11:N11)</f>
        <v>-188843.69</v>
      </c>
      <c r="O12" s="40"/>
      <c r="P12" s="43">
        <f>SUM(P11:P11)</f>
        <v>188843.69</v>
      </c>
      <c r="Q12" s="37"/>
    </row>
    <row r="13" spans="1:19" ht="13.8">
      <c r="A13" s="17"/>
      <c r="B13" s="26"/>
      <c r="C13" s="19"/>
      <c r="D13" s="17"/>
      <c r="E13" s="17"/>
      <c r="F13" s="44"/>
      <c r="G13" s="45"/>
      <c r="H13" s="40"/>
      <c r="I13" s="44"/>
      <c r="J13" s="44"/>
      <c r="K13" s="44"/>
      <c r="L13" s="148"/>
      <c r="M13" s="46"/>
      <c r="N13" s="47"/>
      <c r="O13" s="40"/>
      <c r="P13" s="48"/>
      <c r="Q13" s="19"/>
    </row>
    <row r="14" spans="1:19" ht="13.8">
      <c r="A14" s="17"/>
      <c r="B14" s="49" t="s">
        <v>4</v>
      </c>
      <c r="C14" s="19"/>
      <c r="D14" s="17"/>
      <c r="E14" s="17"/>
      <c r="F14" s="44"/>
      <c r="G14" s="45"/>
      <c r="H14" s="40"/>
      <c r="I14" s="44"/>
      <c r="J14" s="44"/>
      <c r="K14" s="44"/>
      <c r="L14" s="148"/>
      <c r="M14" s="46"/>
      <c r="N14" s="47"/>
      <c r="O14" s="40"/>
      <c r="P14" s="48"/>
      <c r="Q14" s="19"/>
      <c r="R14" s="50"/>
      <c r="S14" s="50"/>
    </row>
    <row r="15" spans="1:19" ht="13.8">
      <c r="A15" s="17"/>
      <c r="B15" s="51" t="s">
        <v>5</v>
      </c>
      <c r="C15" s="19"/>
      <c r="D15" s="17"/>
      <c r="E15" s="17"/>
      <c r="F15" s="44"/>
      <c r="G15" s="45"/>
      <c r="H15" s="40"/>
      <c r="I15" s="44"/>
      <c r="J15" s="44"/>
      <c r="K15" s="44"/>
      <c r="L15" s="148"/>
      <c r="M15" s="46"/>
      <c r="N15" s="47"/>
      <c r="O15" s="40"/>
      <c r="P15" s="48"/>
      <c r="Q15" s="19"/>
      <c r="R15" s="50"/>
      <c r="S15" s="50"/>
    </row>
    <row r="16" spans="1:19" ht="13.8">
      <c r="A16" s="17"/>
      <c r="B16" s="52" t="s">
        <v>6</v>
      </c>
      <c r="C16" s="27">
        <f>SUM('[2]BAO Roll up'!C40)-'[2]BAO Roll up'!C34</f>
        <v>1304242.5199999996</v>
      </c>
      <c r="D16" s="28"/>
      <c r="E16" s="28"/>
      <c r="F16" s="53">
        <f>16052413.5-128651</f>
        <v>15923762.5</v>
      </c>
      <c r="G16" s="54">
        <f>24925624.72-420000-7647666.22</f>
        <v>16857958.5</v>
      </c>
      <c r="H16" s="40"/>
      <c r="I16" s="176">
        <f>20303471.36-499650-6839375.98</f>
        <v>12964445.379999999</v>
      </c>
      <c r="J16" s="143"/>
      <c r="K16" s="53"/>
      <c r="L16" s="46"/>
      <c r="M16" s="46">
        <f>I16/22.7*3.8+112001.38+54248.5+66000+100000</f>
        <v>2502509.4590308364</v>
      </c>
      <c r="N16" s="47">
        <f>SUM(I16:M16)</f>
        <v>15466954.839030836</v>
      </c>
      <c r="O16" s="40"/>
      <c r="P16" s="55">
        <f>+G16-N16</f>
        <v>1391003.6609691642</v>
      </c>
      <c r="Q16" s="56"/>
      <c r="R16" s="50"/>
      <c r="S16" s="57"/>
    </row>
    <row r="17" spans="1:20" ht="13.8">
      <c r="A17" s="17"/>
      <c r="B17" s="52" t="s">
        <v>7</v>
      </c>
      <c r="C17" s="27"/>
      <c r="D17" s="28"/>
      <c r="E17" s="28"/>
      <c r="F17" s="53"/>
      <c r="G17" s="54">
        <v>420000</v>
      </c>
      <c r="H17" s="40"/>
      <c r="I17" s="53">
        <f>5554.41+205249.47+56162.39+38913.85+186473.13+7296.52</f>
        <v>499649.77</v>
      </c>
      <c r="J17" s="53"/>
      <c r="K17" s="53"/>
      <c r="L17" s="46"/>
      <c r="M17" s="46">
        <f>I17/22.7*3.5</f>
        <v>77038.510792951551</v>
      </c>
      <c r="N17" s="47">
        <f>SUM(I17:M17)</f>
        <v>576688.28079295158</v>
      </c>
      <c r="O17" s="40"/>
      <c r="P17" s="55">
        <f>+G17-N17</f>
        <v>-156688.28079295158</v>
      </c>
      <c r="Q17" s="27"/>
      <c r="R17" s="50"/>
      <c r="S17" s="50"/>
    </row>
    <row r="18" spans="1:20" ht="13.8">
      <c r="A18" s="17"/>
      <c r="B18" s="52" t="s">
        <v>8</v>
      </c>
      <c r="C18" s="27"/>
      <c r="D18" s="28"/>
      <c r="E18" s="28"/>
      <c r="F18" s="53">
        <v>128651</v>
      </c>
      <c r="G18" s="77">
        <v>7647666.2199999997</v>
      </c>
      <c r="H18" s="40"/>
      <c r="I18" s="76">
        <f>6839376.16</f>
        <v>6839376.1600000001</v>
      </c>
      <c r="J18" s="53"/>
      <c r="K18" s="53"/>
      <c r="L18" s="46"/>
      <c r="M18" s="46">
        <v>808290</v>
      </c>
      <c r="N18" s="47">
        <f>SUM(I18:M18)</f>
        <v>7647666.1600000001</v>
      </c>
      <c r="O18" s="40"/>
      <c r="P18" s="55">
        <f>+G18-N18</f>
        <v>5.9999999590218067E-2</v>
      </c>
      <c r="Q18" s="27"/>
      <c r="R18" s="50"/>
      <c r="S18" s="50"/>
      <c r="T18" s="50"/>
    </row>
    <row r="19" spans="1:20" ht="15.6">
      <c r="A19" s="19"/>
      <c r="B19" s="51" t="s">
        <v>9</v>
      </c>
      <c r="C19" s="27">
        <f>SUM(C16:C17)</f>
        <v>1304242.5199999996</v>
      </c>
      <c r="D19" s="27"/>
      <c r="E19" s="27"/>
      <c r="F19" s="58">
        <f>SUM(F16:F18)</f>
        <v>16052413.5</v>
      </c>
      <c r="G19" s="54">
        <f>SUM(G16:G18)</f>
        <v>24925624.719999999</v>
      </c>
      <c r="H19" s="40"/>
      <c r="I19" s="54">
        <f>SUM(I16:I18)</f>
        <v>20303471.309999999</v>
      </c>
      <c r="J19" s="58"/>
      <c r="K19" s="58">
        <f>SUM(K16:K18)</f>
        <v>0</v>
      </c>
      <c r="L19" s="149"/>
      <c r="M19" s="60">
        <f>SUM(M16:M18)</f>
        <v>3387837.9698237879</v>
      </c>
      <c r="N19" s="61">
        <f>SUM(N16:N18)</f>
        <v>23691309.279823788</v>
      </c>
      <c r="O19" s="59"/>
      <c r="P19" s="62">
        <f>SUM(P16:P18)</f>
        <v>1234315.4401762122</v>
      </c>
      <c r="Q19" s="56"/>
      <c r="R19" s="50"/>
      <c r="S19" s="50"/>
    </row>
    <row r="20" spans="1:20" ht="13.8">
      <c r="A20" s="17"/>
      <c r="B20" s="26"/>
      <c r="C20" s="27"/>
      <c r="D20" s="28"/>
      <c r="E20" s="28"/>
      <c r="F20" s="63"/>
      <c r="G20" s="64"/>
      <c r="H20" s="40"/>
      <c r="I20" s="63"/>
      <c r="J20" s="63"/>
      <c r="K20" s="63"/>
      <c r="L20" s="150"/>
      <c r="M20" s="65"/>
      <c r="N20" s="66"/>
      <c r="O20" s="40"/>
      <c r="P20" s="67"/>
      <c r="Q20" s="27"/>
      <c r="R20" s="50"/>
      <c r="S20" s="50"/>
    </row>
    <row r="21" spans="1:20" ht="13.8">
      <c r="A21" s="17"/>
      <c r="B21" s="26"/>
      <c r="C21" s="27"/>
      <c r="D21" s="28"/>
      <c r="E21" s="28"/>
      <c r="F21" s="44"/>
      <c r="G21" s="45"/>
      <c r="H21" s="40"/>
      <c r="I21" s="44"/>
      <c r="J21" s="44"/>
      <c r="K21" s="44"/>
      <c r="L21" s="148"/>
      <c r="M21" s="46"/>
      <c r="N21" s="47"/>
      <c r="O21" s="40"/>
      <c r="P21" s="55"/>
      <c r="Q21" s="27"/>
      <c r="R21" s="50"/>
      <c r="S21" s="50"/>
    </row>
    <row r="22" spans="1:20" ht="13.8">
      <c r="A22" s="17"/>
      <c r="B22" s="51" t="s">
        <v>10</v>
      </c>
      <c r="C22" s="27"/>
      <c r="D22" s="28"/>
      <c r="E22" s="28"/>
      <c r="F22" s="44">
        <v>174925</v>
      </c>
      <c r="G22" s="45"/>
      <c r="H22" s="40"/>
      <c r="I22" s="44"/>
      <c r="J22" s="44"/>
      <c r="K22" s="44"/>
      <c r="L22" s="148"/>
      <c r="M22" s="46"/>
      <c r="N22" s="47">
        <f t="shared" ref="N22:N34" si="0">SUM(I22:M22)</f>
        <v>0</v>
      </c>
      <c r="O22" s="40"/>
      <c r="P22" s="55">
        <f t="shared" ref="P22:P34" si="1">+G22-N22</f>
        <v>0</v>
      </c>
      <c r="R22" s="27"/>
      <c r="S22" s="50"/>
    </row>
    <row r="23" spans="1:20" ht="13.8">
      <c r="A23" s="17"/>
      <c r="B23" s="68" t="s">
        <v>11</v>
      </c>
      <c r="C23" s="27">
        <f>SUM('[2]BAO Roll up'!C48)</f>
        <v>5654</v>
      </c>
      <c r="D23" s="28"/>
      <c r="E23" s="28"/>
      <c r="F23" s="44">
        <v>2000</v>
      </c>
      <c r="G23" s="45">
        <v>7000</v>
      </c>
      <c r="H23" s="40"/>
      <c r="I23" s="44">
        <v>6400</v>
      </c>
      <c r="J23" s="44"/>
      <c r="K23" s="44"/>
      <c r="L23" s="148"/>
      <c r="M23" s="46"/>
      <c r="N23" s="47">
        <f t="shared" si="0"/>
        <v>6400</v>
      </c>
      <c r="O23" s="40"/>
      <c r="P23" s="55">
        <f t="shared" si="1"/>
        <v>600</v>
      </c>
      <c r="Q23" s="27"/>
      <c r="R23" s="27"/>
      <c r="S23" s="50"/>
    </row>
    <row r="24" spans="1:20" ht="13.8">
      <c r="A24" s="17"/>
      <c r="B24" s="68" t="s">
        <v>12</v>
      </c>
      <c r="C24" s="69">
        <f>SUM('[2]BAO Roll up'!C52)</f>
        <v>4025</v>
      </c>
      <c r="D24" s="28"/>
      <c r="E24" s="28"/>
      <c r="F24" s="44"/>
      <c r="G24" s="45">
        <v>0</v>
      </c>
      <c r="H24" s="40"/>
      <c r="I24" s="44"/>
      <c r="J24" s="44"/>
      <c r="K24" s="44"/>
      <c r="L24" s="148"/>
      <c r="M24" s="46"/>
      <c r="N24" s="47">
        <f t="shared" si="0"/>
        <v>0</v>
      </c>
      <c r="O24" s="40"/>
      <c r="P24" s="55">
        <f t="shared" si="1"/>
        <v>0</v>
      </c>
      <c r="Q24" s="27"/>
      <c r="R24" s="27"/>
      <c r="S24" s="50"/>
    </row>
    <row r="25" spans="1:20" ht="13.8">
      <c r="A25" s="17"/>
      <c r="B25" s="68" t="s">
        <v>13</v>
      </c>
      <c r="C25" s="27">
        <f>SUM('[2]BAO Roll up'!C54-'[2]BAO Roll up'!C52)</f>
        <v>105524.93</v>
      </c>
      <c r="D25" s="28"/>
      <c r="E25" s="28"/>
      <c r="F25" s="44">
        <v>167810</v>
      </c>
      <c r="G25" s="45">
        <v>71623.520000000004</v>
      </c>
      <c r="H25" s="40"/>
      <c r="I25" s="44">
        <v>34457.06</v>
      </c>
      <c r="J25" s="159"/>
      <c r="K25" s="44">
        <v>8094.74</v>
      </c>
      <c r="L25" s="151"/>
      <c r="M25" s="46"/>
      <c r="N25" s="47">
        <f t="shared" si="0"/>
        <v>42551.799999999996</v>
      </c>
      <c r="O25" s="40"/>
      <c r="P25" s="55">
        <f t="shared" si="1"/>
        <v>29071.720000000008</v>
      </c>
      <c r="Q25" s="27"/>
      <c r="R25" s="27"/>
      <c r="S25" s="50"/>
    </row>
    <row r="26" spans="1:20" ht="13.8">
      <c r="A26" s="17"/>
      <c r="B26" s="68" t="s">
        <v>14</v>
      </c>
      <c r="C26" s="27">
        <f>SUM('[2]BAO Roll up'!C59)</f>
        <v>23064.720000000001</v>
      </c>
      <c r="D26" s="28"/>
      <c r="E26" s="28"/>
      <c r="F26" s="44">
        <v>2625529</v>
      </c>
      <c r="G26" s="45">
        <v>4399759.8499999996</v>
      </c>
      <c r="H26" s="40"/>
      <c r="I26" s="44">
        <v>4616311.25</v>
      </c>
      <c r="J26" s="44"/>
      <c r="K26" s="44">
        <v>1292063.44</v>
      </c>
      <c r="L26" s="148"/>
      <c r="M26" s="181">
        <v>100000</v>
      </c>
      <c r="N26" s="47">
        <f t="shared" si="0"/>
        <v>6008374.6899999995</v>
      </c>
      <c r="O26" s="40"/>
      <c r="P26" s="55">
        <f t="shared" si="1"/>
        <v>-1608614.8399999999</v>
      </c>
      <c r="Q26" s="27"/>
      <c r="R26" s="27"/>
      <c r="S26" s="50"/>
    </row>
    <row r="27" spans="1:20" ht="13.8">
      <c r="A27" s="17"/>
      <c r="B27" s="68" t="s">
        <v>15</v>
      </c>
      <c r="C27" s="27"/>
      <c r="D27" s="28"/>
      <c r="E27" s="28"/>
      <c r="F27" s="44"/>
      <c r="G27" s="45"/>
      <c r="H27" s="40"/>
      <c r="I27" s="44"/>
      <c r="J27" s="44"/>
      <c r="K27" s="44"/>
      <c r="L27" s="148"/>
      <c r="M27" s="46"/>
      <c r="N27" s="47">
        <f t="shared" si="0"/>
        <v>0</v>
      </c>
      <c r="O27" s="40"/>
      <c r="P27" s="55">
        <f t="shared" si="1"/>
        <v>0</v>
      </c>
      <c r="Q27" s="27"/>
      <c r="R27" s="27"/>
      <c r="S27" s="50"/>
    </row>
    <row r="28" spans="1:20" ht="13.8">
      <c r="A28" s="17"/>
      <c r="B28" s="70" t="s">
        <v>16</v>
      </c>
      <c r="C28" s="27">
        <f>SUM('[2]BAO Roll up'!C73)</f>
        <v>349749.84000000008</v>
      </c>
      <c r="D28" s="28"/>
      <c r="E28" s="28"/>
      <c r="F28" s="44">
        <v>1631730</v>
      </c>
      <c r="G28" s="45">
        <v>653817.88</v>
      </c>
      <c r="H28" s="40"/>
      <c r="I28" s="44">
        <v>578139.67000000004</v>
      </c>
      <c r="J28" s="144"/>
      <c r="K28" s="44">
        <v>47347.76</v>
      </c>
      <c r="L28" s="155"/>
      <c r="M28" s="46"/>
      <c r="N28" s="47">
        <f t="shared" si="0"/>
        <v>625487.43000000005</v>
      </c>
      <c r="O28" s="40"/>
      <c r="P28" s="55">
        <f t="shared" si="1"/>
        <v>28330.449999999953</v>
      </c>
      <c r="Q28" s="56"/>
      <c r="R28" s="27"/>
    </row>
    <row r="29" spans="1:20" ht="13.8">
      <c r="A29" s="17"/>
      <c r="B29" s="70" t="s">
        <v>17</v>
      </c>
      <c r="C29" s="27"/>
      <c r="D29" s="28"/>
      <c r="E29" s="28"/>
      <c r="F29" s="44"/>
      <c r="G29" s="45"/>
      <c r="H29" s="40"/>
      <c r="I29" s="44"/>
      <c r="J29" s="44"/>
      <c r="K29" s="44"/>
      <c r="L29" s="148"/>
      <c r="M29" s="46"/>
      <c r="N29" s="47">
        <f t="shared" si="0"/>
        <v>0</v>
      </c>
      <c r="O29" s="40"/>
      <c r="P29" s="55">
        <f t="shared" si="1"/>
        <v>0</v>
      </c>
      <c r="Q29" s="27"/>
      <c r="R29" s="27"/>
    </row>
    <row r="30" spans="1:20" ht="13.8">
      <c r="A30" s="17"/>
      <c r="B30" s="68" t="s">
        <v>18</v>
      </c>
      <c r="C30" s="71">
        <f>SUM('[2]BAO Roll up'!C77)</f>
        <v>1798</v>
      </c>
      <c r="D30" s="28"/>
      <c r="E30" s="28"/>
      <c r="F30" s="44">
        <v>73110</v>
      </c>
      <c r="G30" s="45">
        <v>23500</v>
      </c>
      <c r="H30" s="40"/>
      <c r="I30" s="44">
        <v>17427.5</v>
      </c>
      <c r="J30" s="44"/>
      <c r="K30" s="44">
        <v>10500</v>
      </c>
      <c r="L30" s="148"/>
      <c r="M30" s="46"/>
      <c r="N30" s="47">
        <f t="shared" si="0"/>
        <v>27927.5</v>
      </c>
      <c r="O30" s="40"/>
      <c r="P30" s="55">
        <f t="shared" si="1"/>
        <v>-4427.5</v>
      </c>
      <c r="Q30" s="56"/>
      <c r="R30" s="27"/>
      <c r="S30" s="50"/>
    </row>
    <row r="31" spans="1:20" ht="13.8">
      <c r="A31" s="17"/>
      <c r="B31" s="68" t="s">
        <v>19</v>
      </c>
      <c r="C31" s="27">
        <f>SUM('[2]BAO Roll up'!C83)</f>
        <v>38049.379999999997</v>
      </c>
      <c r="D31" s="28"/>
      <c r="E31" s="28"/>
      <c r="F31" s="44">
        <v>389490</v>
      </c>
      <c r="G31" s="45">
        <v>357990</v>
      </c>
      <c r="H31" s="40"/>
      <c r="I31" s="44">
        <v>251197.72</v>
      </c>
      <c r="J31" s="144"/>
      <c r="K31" s="44">
        <v>42140.82</v>
      </c>
      <c r="L31" s="151"/>
      <c r="M31" s="46"/>
      <c r="N31" s="47">
        <f t="shared" si="0"/>
        <v>293338.53999999998</v>
      </c>
      <c r="O31" s="40"/>
      <c r="P31" s="55">
        <f t="shared" si="1"/>
        <v>64651.460000000021</v>
      </c>
      <c r="Q31" s="56"/>
      <c r="R31" s="27"/>
      <c r="S31" s="50"/>
    </row>
    <row r="32" spans="1:20" ht="13.8">
      <c r="A32" s="17"/>
      <c r="B32" s="68" t="s">
        <v>20</v>
      </c>
      <c r="C32" s="27">
        <f>SUM('[2]BAO Roll up'!C91)</f>
        <v>1068019.08</v>
      </c>
      <c r="D32" s="28"/>
      <c r="E32" s="28"/>
      <c r="F32" s="44">
        <v>109000</v>
      </c>
      <c r="G32" s="45">
        <v>129500</v>
      </c>
      <c r="H32" s="40"/>
      <c r="I32" s="44">
        <v>99380.28</v>
      </c>
      <c r="J32" s="44"/>
      <c r="K32" s="44">
        <v>12.88</v>
      </c>
      <c r="L32" s="148"/>
      <c r="M32" s="46">
        <v>5000</v>
      </c>
      <c r="N32" s="47">
        <f t="shared" si="0"/>
        <v>104393.16</v>
      </c>
      <c r="O32" s="40"/>
      <c r="P32" s="55">
        <f t="shared" si="1"/>
        <v>25106.839999999997</v>
      </c>
      <c r="Q32" s="27"/>
      <c r="R32" s="27"/>
      <c r="S32" s="57"/>
    </row>
    <row r="33" spans="1:21" ht="13.8">
      <c r="A33" s="17"/>
      <c r="B33" s="72" t="s">
        <v>21</v>
      </c>
      <c r="C33" s="27">
        <f>SUM('[2]BAO Roll up'!C100)</f>
        <v>88143.98</v>
      </c>
      <c r="D33" s="28"/>
      <c r="E33" s="28"/>
      <c r="F33" s="44">
        <v>8075</v>
      </c>
      <c r="G33" s="45">
        <v>130813.51</v>
      </c>
      <c r="H33" s="40"/>
      <c r="I33" s="44">
        <v>-41159.120000000003</v>
      </c>
      <c r="J33" s="44"/>
      <c r="K33" s="44">
        <v>12661.36</v>
      </c>
      <c r="L33" s="148"/>
      <c r="M33" s="209">
        <v>93000</v>
      </c>
      <c r="N33" s="47">
        <f t="shared" si="0"/>
        <v>64502.239999999998</v>
      </c>
      <c r="O33" s="40"/>
      <c r="P33" s="55">
        <f t="shared" si="1"/>
        <v>66311.26999999999</v>
      </c>
      <c r="Q33" s="27"/>
      <c r="R33" s="27"/>
      <c r="S33" s="50"/>
    </row>
    <row r="34" spans="1:21" ht="13.8">
      <c r="A34" s="73"/>
      <c r="B34" s="72" t="s">
        <v>22</v>
      </c>
      <c r="C34" s="74">
        <f>SUM('[2]BAO Roll up'!C101)</f>
        <v>-1295212.74</v>
      </c>
      <c r="D34" s="75"/>
      <c r="E34" s="75"/>
      <c r="F34" s="76">
        <v>-2582980</v>
      </c>
      <c r="G34" s="77">
        <v>-3186042.04</v>
      </c>
      <c r="H34" s="40"/>
      <c r="I34" s="76">
        <v>-3171192.11</v>
      </c>
      <c r="J34" s="76"/>
      <c r="K34" s="76"/>
      <c r="L34" s="46"/>
      <c r="M34" s="46">
        <f>I34/11</f>
        <v>-288290.19181818183</v>
      </c>
      <c r="N34" s="47">
        <f t="shared" si="0"/>
        <v>-3459482.3018181818</v>
      </c>
      <c r="O34" s="40"/>
      <c r="P34" s="55">
        <f t="shared" si="1"/>
        <v>273440.26181818172</v>
      </c>
      <c r="Q34" s="27"/>
      <c r="R34" s="27"/>
      <c r="S34" s="50"/>
    </row>
    <row r="35" spans="1:21" ht="13.8">
      <c r="A35" s="73"/>
      <c r="B35" s="78" t="s">
        <v>23</v>
      </c>
      <c r="C35" s="79">
        <f>SUM(C23:C34)</f>
        <v>388816.19000000018</v>
      </c>
      <c r="D35" s="75"/>
      <c r="E35" s="75"/>
      <c r="F35" s="80">
        <f>SUM(F22:F34)</f>
        <v>2598689</v>
      </c>
      <c r="G35" s="81">
        <f>SUM(G22:G34)</f>
        <v>2587962.7199999988</v>
      </c>
      <c r="H35" s="40"/>
      <c r="I35" s="80">
        <f>SUM(I22:I34)</f>
        <v>2390962.2499999995</v>
      </c>
      <c r="J35" s="80"/>
      <c r="K35" s="80">
        <f>SUM(K22:K34)</f>
        <v>1412821</v>
      </c>
      <c r="L35" s="82"/>
      <c r="M35" s="82">
        <f>SUM(M22:M34)</f>
        <v>-90290.191818181833</v>
      </c>
      <c r="N35" s="83">
        <f>SUM(N22:N34)</f>
        <v>3713493.0581818176</v>
      </c>
      <c r="O35" s="40"/>
      <c r="P35" s="84">
        <f>SUM(P22:P34)</f>
        <v>-1125530.3381818181</v>
      </c>
      <c r="Q35" s="79"/>
      <c r="R35" s="57"/>
      <c r="S35" s="50"/>
    </row>
    <row r="36" spans="1:21" ht="15.6">
      <c r="A36" s="73"/>
      <c r="B36" s="85" t="s">
        <v>24</v>
      </c>
      <c r="C36" s="86">
        <f>C19+C35</f>
        <v>1693058.7099999997</v>
      </c>
      <c r="D36" s="75"/>
      <c r="E36" s="75"/>
      <c r="F36" s="87">
        <f>F19+F35</f>
        <v>18651102.5</v>
      </c>
      <c r="G36" s="45">
        <f>G19+G35</f>
        <v>27513587.439999998</v>
      </c>
      <c r="H36" s="59"/>
      <c r="I36" s="87">
        <f>I19+I35</f>
        <v>22694433.559999999</v>
      </c>
      <c r="J36" s="87"/>
      <c r="K36" s="87">
        <f>K19+K35</f>
        <v>1412821</v>
      </c>
      <c r="L36" s="152"/>
      <c r="M36" s="88">
        <f>M19+M35</f>
        <v>3297547.778005606</v>
      </c>
      <c r="N36" s="89">
        <f>N19+N35</f>
        <v>27404802.338005606</v>
      </c>
      <c r="O36" s="59"/>
      <c r="P36" s="90">
        <f>P19+P35</f>
        <v>108785.10199439409</v>
      </c>
      <c r="Q36" s="75"/>
      <c r="R36" s="50"/>
      <c r="S36" s="50"/>
    </row>
    <row r="37" spans="1:21" ht="13.8">
      <c r="A37" s="73"/>
      <c r="B37" s="91"/>
      <c r="C37" s="75"/>
      <c r="D37" s="75"/>
      <c r="E37" s="75"/>
      <c r="F37" s="92"/>
      <c r="G37" s="93"/>
      <c r="H37" s="40"/>
      <c r="I37" s="92"/>
      <c r="J37" s="92"/>
      <c r="K37" s="92"/>
      <c r="L37" s="94"/>
      <c r="M37" s="94"/>
      <c r="N37" s="95"/>
      <c r="O37" s="40"/>
      <c r="P37" s="96"/>
      <c r="Q37" s="75"/>
      <c r="R37" s="50"/>
      <c r="S37" s="50"/>
    </row>
    <row r="38" spans="1:21" ht="13.8">
      <c r="A38" s="73"/>
      <c r="B38" s="51" t="s">
        <v>25</v>
      </c>
      <c r="C38" s="75"/>
      <c r="D38" s="75"/>
      <c r="E38" s="75"/>
      <c r="F38" s="97"/>
      <c r="G38" s="98"/>
      <c r="H38" s="40"/>
      <c r="I38" s="97"/>
      <c r="J38" s="97"/>
      <c r="K38" s="97"/>
      <c r="L38" s="153"/>
      <c r="M38" s="99"/>
      <c r="N38" s="66">
        <f>SUM(I38:M38)</f>
        <v>0</v>
      </c>
      <c r="O38" s="40"/>
      <c r="P38" s="55">
        <f>+G38-N38</f>
        <v>0</v>
      </c>
      <c r="Q38" s="37"/>
      <c r="R38" s="50"/>
      <c r="S38" s="50"/>
    </row>
    <row r="39" spans="1:21" ht="19.95" customHeight="1" thickBot="1">
      <c r="A39" s="17"/>
      <c r="B39" s="85" t="s">
        <v>26</v>
      </c>
      <c r="C39" s="100">
        <f>C12+C36</f>
        <v>1614681.1699999997</v>
      </c>
      <c r="D39" s="28"/>
      <c r="E39" s="28"/>
      <c r="F39" s="101">
        <f>F12+F36+F38</f>
        <v>18651102.5</v>
      </c>
      <c r="G39" s="102">
        <f>G12+G36+G38</f>
        <v>27513587.439999998</v>
      </c>
      <c r="H39" s="103"/>
      <c r="I39" s="104">
        <f>I12+I36+I38</f>
        <v>22522889.869999997</v>
      </c>
      <c r="J39" s="104"/>
      <c r="K39" s="104">
        <f>K12+K36+K38</f>
        <v>1412821</v>
      </c>
      <c r="L39" s="154"/>
      <c r="M39" s="105">
        <f>M12+M36+M38</f>
        <v>3280247.778005606</v>
      </c>
      <c r="N39" s="106">
        <f>N12+N36+N38</f>
        <v>27215958.648005605</v>
      </c>
      <c r="O39" s="103"/>
      <c r="P39" s="107">
        <f>P12+P36+P38</f>
        <v>297628.79199439409</v>
      </c>
      <c r="Q39" s="108"/>
      <c r="R39" s="50"/>
      <c r="S39" s="50"/>
    </row>
    <row r="40" spans="1:21" ht="19.2" thickTop="1" thickBot="1">
      <c r="A40" s="17"/>
      <c r="B40" s="26"/>
      <c r="C40" s="19"/>
      <c r="D40" s="17"/>
      <c r="E40" s="17"/>
      <c r="F40" s="109"/>
      <c r="G40" s="175"/>
      <c r="H40"/>
      <c r="I40" s="111"/>
      <c r="J40" s="111"/>
      <c r="K40" s="111"/>
      <c r="L40" s="112"/>
      <c r="M40" s="112"/>
      <c r="N40" s="110"/>
      <c r="O40"/>
      <c r="P40" s="113">
        <f>+P39/G39</f>
        <v>1.0817520348571242E-2</v>
      </c>
      <c r="Q40" s="19"/>
      <c r="R40" s="50"/>
      <c r="S40" s="50"/>
    </row>
    <row r="41" spans="1:21" ht="42.6" thickBot="1">
      <c r="A41" s="114"/>
      <c r="B41" s="115"/>
      <c r="C41" s="115"/>
      <c r="D41" s="115"/>
      <c r="E41" s="115"/>
      <c r="F41" s="116"/>
      <c r="G41" s="161"/>
      <c r="H41" s="117"/>
      <c r="I41" s="118"/>
      <c r="J41" s="118"/>
      <c r="K41" s="118"/>
      <c r="L41" s="118"/>
      <c r="M41" s="183"/>
      <c r="N41" s="119"/>
      <c r="O41"/>
      <c r="P41" s="120" t="s">
        <v>27</v>
      </c>
      <c r="Q41" s="119"/>
    </row>
    <row r="42" spans="1:21" ht="15.6">
      <c r="A42" s="121" t="s">
        <v>28</v>
      </c>
      <c r="B42" s="122"/>
      <c r="C42" s="123"/>
      <c r="D42" s="123"/>
      <c r="E42" s="123"/>
      <c r="F42" s="124"/>
      <c r="G42" s="125"/>
      <c r="H42" s="125"/>
      <c r="I42" s="126"/>
      <c r="J42" s="126"/>
      <c r="K42" s="126"/>
      <c r="L42" s="126"/>
      <c r="M42" s="126"/>
      <c r="N42" s="126"/>
      <c r="O42"/>
      <c r="P42" s="126"/>
      <c r="Q42" s="126"/>
      <c r="R42" s="126"/>
      <c r="S42" s="126"/>
      <c r="T42" s="126"/>
      <c r="U42" s="126"/>
    </row>
    <row r="43" spans="1:21" ht="15.6">
      <c r="A43" s="127"/>
      <c r="B43" s="182"/>
      <c r="C43" s="123"/>
      <c r="D43" s="123"/>
      <c r="E43" s="123"/>
      <c r="F43" s="124"/>
      <c r="G43" s="163"/>
      <c r="H43" s="125"/>
      <c r="I43" s="126"/>
      <c r="J43" s="126"/>
      <c r="K43" s="126"/>
      <c r="L43" s="126"/>
      <c r="M43" s="126"/>
      <c r="N43" s="126"/>
      <c r="O43"/>
      <c r="P43" s="126"/>
      <c r="Q43" s="126"/>
      <c r="R43" s="126"/>
      <c r="S43" s="126"/>
      <c r="T43" s="126"/>
      <c r="U43" s="126"/>
    </row>
    <row r="44" spans="1:21" ht="15.6">
      <c r="A44" s="127"/>
      <c r="B44" s="177" t="s">
        <v>32</v>
      </c>
      <c r="C44" s="178"/>
      <c r="D44" s="179"/>
      <c r="E44" s="179"/>
      <c r="F44" s="180"/>
      <c r="G44" s="125"/>
      <c r="H44" s="125"/>
      <c r="I44" s="126"/>
      <c r="J44" s="126"/>
      <c r="K44" s="126"/>
      <c r="L44" s="126"/>
      <c r="M44" s="126"/>
      <c r="N44" s="126"/>
      <c r="O44"/>
      <c r="P44" s="126"/>
      <c r="Q44" s="126"/>
      <c r="R44" s="126"/>
      <c r="S44" s="126"/>
      <c r="T44" s="126"/>
      <c r="U44" s="126"/>
    </row>
    <row r="45" spans="1:21" ht="15.6">
      <c r="A45" s="127"/>
      <c r="B45" s="210" t="s">
        <v>107</v>
      </c>
      <c r="C45" s="124"/>
      <c r="D45" s="123"/>
      <c r="E45" s="123"/>
      <c r="F45" s="124"/>
      <c r="G45" s="125"/>
      <c r="H45" s="125"/>
      <c r="I45" s="126"/>
      <c r="J45" s="126"/>
      <c r="K45" s="126"/>
      <c r="L45" s="126"/>
      <c r="M45" s="126"/>
      <c r="N45" s="126"/>
      <c r="O45"/>
      <c r="P45" s="126"/>
      <c r="Q45" s="126"/>
      <c r="R45" s="126"/>
      <c r="S45" s="126"/>
      <c r="T45" s="126"/>
      <c r="U45" s="126"/>
    </row>
    <row r="46" spans="1:21" ht="15.6">
      <c r="A46" s="114"/>
      <c r="B46" s="115"/>
      <c r="C46" s="128"/>
      <c r="D46" s="115"/>
      <c r="E46" s="115"/>
      <c r="F46" s="129"/>
      <c r="O46"/>
    </row>
    <row r="47" spans="1:21" ht="46.8" customHeight="1">
      <c r="A47" s="114"/>
      <c r="B47" s="211" t="s">
        <v>36</v>
      </c>
      <c r="C47" s="211"/>
      <c r="D47" s="211"/>
      <c r="E47" s="211"/>
      <c r="F47" s="211"/>
      <c r="G47" s="211"/>
      <c r="H47" s="211"/>
      <c r="I47" s="211"/>
      <c r="J47" s="211"/>
      <c r="K47" s="211"/>
      <c r="L47" s="211"/>
      <c r="M47" s="211"/>
      <c r="N47" s="211"/>
      <c r="O47" s="211"/>
      <c r="P47" s="211"/>
    </row>
    <row r="48" spans="1:21" ht="15.6">
      <c r="A48" s="114"/>
      <c r="B48" s="115"/>
      <c r="C48" s="131"/>
      <c r="D48" s="115"/>
      <c r="E48" s="115"/>
      <c r="F48" s="129"/>
      <c r="O48"/>
    </row>
    <row r="49" spans="1:17" ht="15.6">
      <c r="A49" s="114"/>
      <c r="B49" s="115"/>
      <c r="C49" s="128"/>
      <c r="D49" s="115"/>
      <c r="E49" s="115"/>
      <c r="F49" s="129"/>
      <c r="O49"/>
    </row>
    <row r="50" spans="1:17" ht="15.6">
      <c r="A50" s="114"/>
      <c r="B50" s="52"/>
      <c r="C50" s="131"/>
      <c r="D50" s="115"/>
      <c r="E50" s="115"/>
      <c r="F50" s="129"/>
      <c r="O50"/>
    </row>
    <row r="51" spans="1:17" ht="15.6">
      <c r="A51" s="114"/>
      <c r="B51" s="51"/>
      <c r="C51" s="115"/>
      <c r="D51" s="115"/>
      <c r="E51" s="115"/>
      <c r="F51" s="148"/>
      <c r="G51" s="148"/>
      <c r="O51"/>
    </row>
    <row r="52" spans="1:17" ht="15.6">
      <c r="A52" s="132"/>
      <c r="B52" s="68"/>
      <c r="C52" s="133"/>
      <c r="D52" s="133"/>
      <c r="E52" s="133"/>
      <c r="F52" s="148"/>
      <c r="G52" s="148"/>
      <c r="H52" s="134"/>
      <c r="I52" s="135"/>
      <c r="J52" s="135"/>
      <c r="K52" s="135"/>
      <c r="L52" s="135"/>
      <c r="M52" s="135"/>
      <c r="N52" s="135"/>
      <c r="O52"/>
      <c r="P52" s="135"/>
      <c r="Q52" s="135"/>
    </row>
    <row r="53" spans="1:17" ht="15.6">
      <c r="A53" s="132"/>
      <c r="B53" s="68"/>
      <c r="C53" s="133"/>
      <c r="D53" s="133"/>
      <c r="E53" s="133"/>
      <c r="F53" s="148"/>
      <c r="G53" s="148"/>
      <c r="H53" s="134"/>
      <c r="I53" s="135"/>
      <c r="J53" s="135"/>
      <c r="K53" s="135"/>
      <c r="L53" s="135"/>
      <c r="M53" s="135"/>
      <c r="N53" s="135"/>
      <c r="O53"/>
      <c r="P53" s="135"/>
      <c r="Q53" s="135"/>
    </row>
    <row r="54" spans="1:17" ht="15.6">
      <c r="A54" s="132"/>
      <c r="B54" s="68"/>
      <c r="C54" s="133"/>
      <c r="D54" s="133"/>
      <c r="E54" s="133"/>
      <c r="F54" s="148"/>
      <c r="G54" s="148"/>
      <c r="H54" s="134"/>
      <c r="I54" s="135"/>
      <c r="J54" s="135"/>
      <c r="K54" s="135"/>
      <c r="L54" s="135"/>
      <c r="M54" s="135"/>
      <c r="N54" s="135"/>
      <c r="O54"/>
      <c r="P54" s="135"/>
      <c r="Q54" s="135"/>
    </row>
    <row r="55" spans="1:17" ht="15.6">
      <c r="A55" s="132"/>
      <c r="B55" s="68"/>
      <c r="C55" s="136"/>
      <c r="D55" s="133"/>
      <c r="E55" s="133"/>
      <c r="F55" s="148"/>
      <c r="G55" s="148"/>
      <c r="H55" s="134"/>
      <c r="I55" s="135"/>
      <c r="J55" s="135"/>
      <c r="K55" s="135"/>
      <c r="L55" s="135"/>
      <c r="M55" s="135"/>
      <c r="N55" s="135"/>
      <c r="O55"/>
      <c r="P55" s="135"/>
      <c r="Q55" s="135"/>
    </row>
    <row r="56" spans="1:17" ht="15">
      <c r="A56" s="137"/>
      <c r="B56" s="68"/>
      <c r="C56" s="138"/>
      <c r="D56" s="138"/>
      <c r="E56" s="138"/>
      <c r="F56" s="148"/>
      <c r="G56" s="148"/>
      <c r="O56"/>
    </row>
    <row r="57" spans="1:17" ht="15.6">
      <c r="A57" s="137"/>
      <c r="B57" s="70"/>
      <c r="C57" s="139"/>
      <c r="D57" s="138"/>
      <c r="E57" s="138"/>
      <c r="F57" s="148"/>
      <c r="G57" s="148"/>
      <c r="O57"/>
    </row>
    <row r="58" spans="1:17" ht="15">
      <c r="A58" s="137"/>
      <c r="B58" s="70"/>
      <c r="C58" s="138"/>
      <c r="D58" s="138"/>
      <c r="E58" s="138"/>
      <c r="F58" s="148"/>
      <c r="G58" s="148"/>
      <c r="O58"/>
    </row>
    <row r="59" spans="1:17" ht="15">
      <c r="A59" s="137"/>
      <c r="B59" s="68"/>
      <c r="C59" s="138"/>
      <c r="D59" s="138"/>
      <c r="E59" s="138"/>
      <c r="F59" s="148"/>
      <c r="G59" s="148"/>
      <c r="O59"/>
    </row>
    <row r="60" spans="1:17" ht="13.8">
      <c r="B60" s="68"/>
      <c r="F60" s="148"/>
      <c r="G60" s="148"/>
      <c r="O60"/>
    </row>
    <row r="61" spans="1:17" ht="13.8">
      <c r="B61" s="68"/>
      <c r="F61" s="148"/>
      <c r="G61" s="148"/>
      <c r="O61"/>
    </row>
    <row r="62" spans="1:17" ht="13.8">
      <c r="B62" s="72"/>
      <c r="F62" s="148"/>
      <c r="G62" s="148"/>
      <c r="O62"/>
    </row>
    <row r="63" spans="1:17">
      <c r="F63" s="160"/>
      <c r="G63" s="160"/>
      <c r="O63"/>
    </row>
    <row r="64" spans="1:17">
      <c r="O64"/>
    </row>
    <row r="65" spans="15:15">
      <c r="O65"/>
    </row>
    <row r="66" spans="15:15">
      <c r="O66"/>
    </row>
    <row r="67" spans="15:15">
      <c r="O67"/>
    </row>
    <row r="68" spans="15:15">
      <c r="O68"/>
    </row>
    <row r="69" spans="15:15">
      <c r="O69"/>
    </row>
    <row r="70" spans="15:15">
      <c r="O70"/>
    </row>
    <row r="71" spans="15:15">
      <c r="O71"/>
    </row>
    <row r="72" spans="15:15">
      <c r="O72"/>
    </row>
  </sheetData>
  <mergeCells count="12">
    <mergeCell ref="B47:P47"/>
    <mergeCell ref="P6:P8"/>
    <mergeCell ref="A2:P2"/>
    <mergeCell ref="A3:P3"/>
    <mergeCell ref="A4:P4"/>
    <mergeCell ref="C6:C8"/>
    <mergeCell ref="F6:F8"/>
    <mergeCell ref="G6:G8"/>
    <mergeCell ref="I6:I8"/>
    <mergeCell ref="K6:K8"/>
    <mergeCell ref="M6:M8"/>
    <mergeCell ref="N6:N8"/>
  </mergeCells>
  <conditionalFormatting sqref="P11:P39">
    <cfRule type="colorScale" priority="1">
      <colorScale>
        <cfvo type="num" val="-1"/>
        <cfvo type="num" val="0"/>
        <color rgb="FFFF0000"/>
        <color rgb="FF92D050"/>
      </colorScale>
    </cfRule>
  </conditionalFormatting>
  <printOptions horizontalCentered="1"/>
  <pageMargins left="0" right="0" top="0.4" bottom="0.5" header="0.3" footer="0.3"/>
  <pageSetup scale="76" orientation="landscape" r:id="rId1"/>
  <headerFooter>
    <oddFooter>&amp;L&amp;Z&amp;F&amp;R&amp;D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opLeftCell="A4" workbookViewId="0">
      <selection activeCell="I4" sqref="I4:I35"/>
    </sheetView>
  </sheetViews>
  <sheetFormatPr defaultRowHeight="13.2"/>
  <cols>
    <col min="1" max="1" width="35.33203125" customWidth="1"/>
    <col min="2" max="2" width="8.88671875" customWidth="1"/>
    <col min="6" max="6" width="10.88671875" customWidth="1"/>
    <col min="8" max="8" width="10.44140625" customWidth="1"/>
    <col min="9" max="9" width="10.77734375" customWidth="1"/>
  </cols>
  <sheetData>
    <row r="1" spans="1:9">
      <c r="B1" s="205" t="s">
        <v>104</v>
      </c>
      <c r="C1" s="206" t="s">
        <v>105</v>
      </c>
      <c r="F1" s="205" t="s">
        <v>104</v>
      </c>
      <c r="G1" s="206" t="s">
        <v>105</v>
      </c>
    </row>
    <row r="2" spans="1:9">
      <c r="B2" s="205"/>
      <c r="C2" s="206"/>
    </row>
    <row r="3" spans="1:9">
      <c r="A3" s="204" t="s">
        <v>73</v>
      </c>
      <c r="B3" s="202">
        <v>44424.72</v>
      </c>
      <c r="C3" s="202">
        <v>41588.68</v>
      </c>
      <c r="D3" s="207">
        <f>B3-C3</f>
        <v>2836.0400000000009</v>
      </c>
      <c r="E3" s="207"/>
      <c r="F3" s="202">
        <v>49437.32</v>
      </c>
      <c r="G3" s="202">
        <v>52273.36</v>
      </c>
      <c r="H3" s="207">
        <f>F3-G3</f>
        <v>-2836.0400000000009</v>
      </c>
      <c r="I3" s="207">
        <f>D3+H3</f>
        <v>0</v>
      </c>
    </row>
    <row r="4" spans="1:9">
      <c r="A4" s="204" t="s">
        <v>74</v>
      </c>
      <c r="B4" s="202">
        <v>88013.440000000002</v>
      </c>
      <c r="C4" s="202">
        <v>85238.9</v>
      </c>
      <c r="D4" s="207">
        <f t="shared" ref="D4:D34" si="0">B4-C4</f>
        <v>2774.5400000000081</v>
      </c>
      <c r="E4" s="207"/>
      <c r="F4" s="202">
        <v>19627.71</v>
      </c>
      <c r="G4" s="202">
        <v>5832.97</v>
      </c>
      <c r="H4" s="207">
        <f t="shared" ref="H4:H34" si="1">F4-G4</f>
        <v>13794.739999999998</v>
      </c>
      <c r="I4" s="207">
        <f t="shared" ref="I4:I34" si="2">D4+H4</f>
        <v>16569.280000000006</v>
      </c>
    </row>
    <row r="5" spans="1:9">
      <c r="A5" s="204" t="s">
        <v>75</v>
      </c>
      <c r="B5" s="202">
        <v>165433.87</v>
      </c>
      <c r="C5" s="202">
        <v>151606.79</v>
      </c>
      <c r="D5" s="207">
        <f t="shared" si="0"/>
        <v>13827.079999999987</v>
      </c>
      <c r="E5" s="207"/>
      <c r="F5" s="202">
        <v>17065.04</v>
      </c>
      <c r="G5" s="202">
        <v>19965.66</v>
      </c>
      <c r="H5" s="207">
        <f t="shared" si="1"/>
        <v>-2900.619999999999</v>
      </c>
      <c r="I5" s="207">
        <f t="shared" si="2"/>
        <v>10926.459999999988</v>
      </c>
    </row>
    <row r="6" spans="1:9">
      <c r="A6" s="204" t="s">
        <v>76</v>
      </c>
      <c r="B6" s="202">
        <v>316187.07</v>
      </c>
      <c r="C6" s="202">
        <v>309228.78999999998</v>
      </c>
      <c r="D6" s="207">
        <f t="shared" si="0"/>
        <v>6958.2800000000279</v>
      </c>
      <c r="E6" s="207"/>
      <c r="F6" s="202">
        <v>12308.1</v>
      </c>
      <c r="G6" s="202">
        <v>1381.8</v>
      </c>
      <c r="H6" s="207">
        <f t="shared" si="1"/>
        <v>10926.300000000001</v>
      </c>
      <c r="I6" s="207">
        <f t="shared" si="2"/>
        <v>17884.580000000031</v>
      </c>
    </row>
    <row r="7" spans="1:9">
      <c r="A7" s="204" t="s">
        <v>77</v>
      </c>
      <c r="B7" s="202">
        <v>28108.46</v>
      </c>
      <c r="C7" s="202">
        <v>27014.06</v>
      </c>
      <c r="D7" s="207">
        <f t="shared" si="0"/>
        <v>1094.3999999999978</v>
      </c>
      <c r="E7" s="207"/>
      <c r="F7" s="202">
        <v>1740.37</v>
      </c>
      <c r="G7" s="202">
        <v>123.1</v>
      </c>
      <c r="H7" s="207">
        <f t="shared" si="1"/>
        <v>1617.27</v>
      </c>
      <c r="I7" s="207">
        <f t="shared" si="2"/>
        <v>2711.6699999999978</v>
      </c>
    </row>
    <row r="8" spans="1:9">
      <c r="A8" s="204" t="s">
        <v>78</v>
      </c>
      <c r="B8" s="202">
        <v>2658.26</v>
      </c>
      <c r="C8" s="202">
        <v>2658.26</v>
      </c>
      <c r="D8" s="207">
        <f t="shared" si="0"/>
        <v>0</v>
      </c>
      <c r="E8" s="207"/>
      <c r="F8" s="202">
        <v>0</v>
      </c>
      <c r="G8" s="202">
        <v>0</v>
      </c>
      <c r="H8" s="207">
        <f t="shared" si="1"/>
        <v>0</v>
      </c>
      <c r="I8" s="207">
        <f t="shared" si="2"/>
        <v>0</v>
      </c>
    </row>
    <row r="9" spans="1:9">
      <c r="A9" s="204" t="s">
        <v>79</v>
      </c>
      <c r="B9" s="202">
        <v>807623.65</v>
      </c>
      <c r="C9" s="202">
        <v>720683.95</v>
      </c>
      <c r="D9" s="207">
        <f t="shared" si="0"/>
        <v>86939.70000000007</v>
      </c>
      <c r="E9" s="207"/>
      <c r="F9" s="202">
        <v>307901.93</v>
      </c>
      <c r="G9" s="202">
        <v>280128</v>
      </c>
      <c r="H9" s="207">
        <f t="shared" si="1"/>
        <v>27773.929999999993</v>
      </c>
      <c r="I9" s="207">
        <f t="shared" si="2"/>
        <v>114713.63000000006</v>
      </c>
    </row>
    <row r="10" spans="1:9">
      <c r="A10" s="204" t="s">
        <v>80</v>
      </c>
      <c r="B10" s="202">
        <v>375468.76</v>
      </c>
      <c r="C10" s="202">
        <v>309926.48</v>
      </c>
      <c r="D10" s="207">
        <f t="shared" si="0"/>
        <v>65542.280000000028</v>
      </c>
      <c r="E10" s="207"/>
      <c r="F10" s="202">
        <v>186696.01</v>
      </c>
      <c r="G10" s="202">
        <v>249751.06</v>
      </c>
      <c r="H10" s="207">
        <f t="shared" si="1"/>
        <v>-63055.049999999988</v>
      </c>
      <c r="I10" s="207">
        <f t="shared" si="2"/>
        <v>2487.2300000000396</v>
      </c>
    </row>
    <row r="11" spans="1:9">
      <c r="A11" s="204" t="s">
        <v>81</v>
      </c>
      <c r="B11" s="202">
        <v>66068.36</v>
      </c>
      <c r="C11" s="202">
        <v>55681.26</v>
      </c>
      <c r="D11" s="207">
        <f t="shared" si="0"/>
        <v>10387.099999999999</v>
      </c>
      <c r="E11" s="207"/>
      <c r="F11" s="202">
        <v>24626.69</v>
      </c>
      <c r="G11" s="202">
        <v>27933.81</v>
      </c>
      <c r="H11" s="207">
        <f t="shared" si="1"/>
        <v>-3307.1200000000026</v>
      </c>
      <c r="I11" s="207">
        <f t="shared" si="2"/>
        <v>7079.9799999999959</v>
      </c>
    </row>
    <row r="12" spans="1:9">
      <c r="A12" s="204" t="s">
        <v>82</v>
      </c>
      <c r="B12" s="202">
        <v>22575.63</v>
      </c>
      <c r="C12" s="202">
        <v>14747.24</v>
      </c>
      <c r="D12" s="207">
        <f t="shared" si="0"/>
        <v>7828.3900000000012</v>
      </c>
      <c r="E12" s="207"/>
      <c r="F12" s="202">
        <v>18936.259999999998</v>
      </c>
      <c r="G12" s="202">
        <v>26691.27</v>
      </c>
      <c r="H12" s="207">
        <f t="shared" si="1"/>
        <v>-7755.010000000002</v>
      </c>
      <c r="I12" s="207">
        <f t="shared" si="2"/>
        <v>73.3799999999992</v>
      </c>
    </row>
    <row r="13" spans="1:9">
      <c r="A13" s="204" t="s">
        <v>83</v>
      </c>
      <c r="B13" s="202">
        <v>2051.41</v>
      </c>
      <c r="C13" s="202">
        <v>2051.41</v>
      </c>
      <c r="D13" s="207">
        <f t="shared" si="0"/>
        <v>0</v>
      </c>
      <c r="E13" s="207"/>
      <c r="F13" s="202">
        <v>0</v>
      </c>
      <c r="G13" s="202">
        <v>0</v>
      </c>
      <c r="H13" s="207">
        <f t="shared" si="1"/>
        <v>0</v>
      </c>
      <c r="I13" s="207">
        <f t="shared" si="2"/>
        <v>0</v>
      </c>
    </row>
    <row r="14" spans="1:9">
      <c r="A14" s="204" t="s">
        <v>84</v>
      </c>
      <c r="B14" s="202">
        <v>2966.51</v>
      </c>
      <c r="C14" s="202">
        <v>2585.58</v>
      </c>
      <c r="D14" s="207">
        <f t="shared" si="0"/>
        <v>380.93000000000029</v>
      </c>
      <c r="E14" s="207"/>
      <c r="F14" s="202">
        <v>3033.49</v>
      </c>
      <c r="G14" s="202">
        <v>3414.42</v>
      </c>
      <c r="H14" s="207">
        <f t="shared" si="1"/>
        <v>-380.93000000000029</v>
      </c>
      <c r="I14" s="207">
        <f t="shared" si="2"/>
        <v>0</v>
      </c>
    </row>
    <row r="15" spans="1:9">
      <c r="A15" s="204" t="s">
        <v>85</v>
      </c>
      <c r="B15" s="202">
        <v>58271.25</v>
      </c>
      <c r="C15" s="202">
        <v>55244</v>
      </c>
      <c r="D15" s="207">
        <f t="shared" si="0"/>
        <v>3027.25</v>
      </c>
      <c r="E15" s="207"/>
      <c r="F15" s="202">
        <v>7025.23</v>
      </c>
      <c r="G15" s="202">
        <v>9594.5</v>
      </c>
      <c r="H15" s="207">
        <f t="shared" si="1"/>
        <v>-2569.2700000000004</v>
      </c>
      <c r="I15" s="207">
        <f t="shared" si="2"/>
        <v>457.97999999999956</v>
      </c>
    </row>
    <row r="16" spans="1:9">
      <c r="A16" s="204" t="s">
        <v>86</v>
      </c>
      <c r="B16" s="202">
        <v>218352.37</v>
      </c>
      <c r="C16" s="202">
        <v>205615.06</v>
      </c>
      <c r="D16" s="207">
        <f t="shared" si="0"/>
        <v>12737.309999999998</v>
      </c>
      <c r="E16" s="207"/>
      <c r="F16" s="202">
        <v>31037.96</v>
      </c>
      <c r="G16" s="202">
        <v>36292.269999999997</v>
      </c>
      <c r="H16" s="207">
        <f t="shared" si="1"/>
        <v>-5254.3099999999977</v>
      </c>
      <c r="I16" s="207">
        <f t="shared" si="2"/>
        <v>7483</v>
      </c>
    </row>
    <row r="17" spans="1:9">
      <c r="A17" s="204" t="s">
        <v>87</v>
      </c>
      <c r="B17" s="202">
        <v>115599.98</v>
      </c>
      <c r="C17" s="202">
        <v>110613.48</v>
      </c>
      <c r="D17" s="207">
        <f t="shared" si="0"/>
        <v>4986.5</v>
      </c>
      <c r="E17" s="207"/>
      <c r="F17" s="202">
        <v>26187.200000000001</v>
      </c>
      <c r="G17" s="202">
        <v>25043.61</v>
      </c>
      <c r="H17" s="207">
        <f t="shared" si="1"/>
        <v>1143.5900000000001</v>
      </c>
      <c r="I17" s="207">
        <f t="shared" si="2"/>
        <v>6130.09</v>
      </c>
    </row>
    <row r="18" spans="1:9">
      <c r="A18" s="204" t="s">
        <v>88</v>
      </c>
      <c r="B18" s="202">
        <v>250</v>
      </c>
      <c r="C18" s="202">
        <v>250</v>
      </c>
      <c r="D18" s="207">
        <f t="shared" si="0"/>
        <v>0</v>
      </c>
      <c r="E18" s="207"/>
      <c r="F18" s="202">
        <v>144.94999999999999</v>
      </c>
      <c r="G18" s="202">
        <v>0</v>
      </c>
      <c r="H18" s="207">
        <f t="shared" si="1"/>
        <v>144.94999999999999</v>
      </c>
      <c r="I18" s="207">
        <f t="shared" si="2"/>
        <v>144.94999999999999</v>
      </c>
    </row>
    <row r="19" spans="1:9">
      <c r="A19" s="204" t="s">
        <v>89</v>
      </c>
      <c r="B19" s="202">
        <v>12762.53</v>
      </c>
      <c r="C19" s="202">
        <v>9838.5300000000007</v>
      </c>
      <c r="D19" s="207">
        <f t="shared" si="0"/>
        <v>2924</v>
      </c>
      <c r="E19" s="207"/>
      <c r="F19" s="202">
        <v>7395</v>
      </c>
      <c r="G19" s="202">
        <v>10319</v>
      </c>
      <c r="H19" s="207">
        <f t="shared" si="1"/>
        <v>-2924</v>
      </c>
      <c r="I19" s="207">
        <f t="shared" si="2"/>
        <v>0</v>
      </c>
    </row>
    <row r="20" spans="1:9">
      <c r="A20" s="204" t="s">
        <v>90</v>
      </c>
      <c r="B20" s="202">
        <v>286484.37</v>
      </c>
      <c r="C20" s="202">
        <v>275923.11</v>
      </c>
      <c r="D20" s="207">
        <f t="shared" si="0"/>
        <v>10561.260000000009</v>
      </c>
      <c r="E20" s="207"/>
      <c r="F20" s="202">
        <v>44752.6</v>
      </c>
      <c r="G20" s="202">
        <v>51146.65</v>
      </c>
      <c r="H20" s="207">
        <f t="shared" si="1"/>
        <v>-6394.0500000000029</v>
      </c>
      <c r="I20" s="207">
        <f t="shared" si="2"/>
        <v>4167.2100000000064</v>
      </c>
    </row>
    <row r="21" spans="1:9">
      <c r="A21" s="204" t="s">
        <v>91</v>
      </c>
      <c r="B21" s="202">
        <v>15184.83</v>
      </c>
      <c r="C21" s="202">
        <v>15184.83</v>
      </c>
      <c r="D21" s="207">
        <f t="shared" si="0"/>
        <v>0</v>
      </c>
      <c r="E21" s="207"/>
      <c r="F21" s="202">
        <v>4095</v>
      </c>
      <c r="G21" s="202">
        <v>4095</v>
      </c>
      <c r="H21" s="207">
        <f t="shared" si="1"/>
        <v>0</v>
      </c>
      <c r="I21" s="207">
        <f t="shared" si="2"/>
        <v>0</v>
      </c>
    </row>
    <row r="22" spans="1:9">
      <c r="A22" s="204" t="s">
        <v>92</v>
      </c>
      <c r="B22" s="202">
        <v>3300</v>
      </c>
      <c r="C22" s="202">
        <v>3300</v>
      </c>
      <c r="D22" s="207">
        <f t="shared" si="0"/>
        <v>0</v>
      </c>
      <c r="E22" s="207"/>
      <c r="F22" s="202">
        <v>0</v>
      </c>
      <c r="G22" s="202">
        <v>0</v>
      </c>
      <c r="H22" s="207">
        <f t="shared" si="1"/>
        <v>0</v>
      </c>
      <c r="I22" s="207">
        <f t="shared" si="2"/>
        <v>0</v>
      </c>
    </row>
    <row r="23" spans="1:9">
      <c r="A23" s="204" t="s">
        <v>93</v>
      </c>
      <c r="B23" s="202">
        <v>39079.96</v>
      </c>
      <c r="C23" s="202">
        <v>31632.06</v>
      </c>
      <c r="D23" s="207">
        <f t="shared" si="0"/>
        <v>7447.8999999999978</v>
      </c>
      <c r="E23" s="207"/>
      <c r="F23" s="202">
        <v>26380.3</v>
      </c>
      <c r="G23" s="202">
        <v>33828.199999999997</v>
      </c>
      <c r="H23" s="207">
        <f t="shared" si="1"/>
        <v>-7447.8999999999978</v>
      </c>
      <c r="I23" s="207">
        <f t="shared" si="2"/>
        <v>0</v>
      </c>
    </row>
    <row r="24" spans="1:9">
      <c r="A24" s="204" t="s">
        <v>94</v>
      </c>
      <c r="B24" s="202">
        <v>46180.36</v>
      </c>
      <c r="C24" s="202">
        <v>46180.36</v>
      </c>
      <c r="D24" s="207">
        <f t="shared" si="0"/>
        <v>0</v>
      </c>
      <c r="E24" s="207"/>
      <c r="F24" s="202">
        <v>21250.400000000001</v>
      </c>
      <c r="G24" s="202">
        <v>21250.400000000001</v>
      </c>
      <c r="H24" s="207">
        <f t="shared" si="1"/>
        <v>0</v>
      </c>
      <c r="I24" s="207">
        <f t="shared" si="2"/>
        <v>0</v>
      </c>
    </row>
    <row r="25" spans="1:9">
      <c r="A25" s="204" t="s">
        <v>95</v>
      </c>
      <c r="B25" s="202">
        <v>725447.92</v>
      </c>
      <c r="C25" s="202">
        <v>651181.01</v>
      </c>
      <c r="D25" s="207">
        <f t="shared" si="0"/>
        <v>74266.910000000033</v>
      </c>
      <c r="E25" s="207"/>
      <c r="F25" s="202">
        <v>846509.72</v>
      </c>
      <c r="G25" s="202">
        <v>920484.63</v>
      </c>
      <c r="H25" s="207">
        <f t="shared" si="1"/>
        <v>-73974.910000000033</v>
      </c>
      <c r="I25" s="207">
        <f t="shared" si="2"/>
        <v>292</v>
      </c>
    </row>
    <row r="26" spans="1:9">
      <c r="A26" s="204" t="s">
        <v>96</v>
      </c>
      <c r="B26" s="202">
        <v>79572</v>
      </c>
      <c r="C26" s="202">
        <v>79572</v>
      </c>
      <c r="D26" s="207">
        <f t="shared" si="0"/>
        <v>0</v>
      </c>
      <c r="E26" s="207"/>
      <c r="F26" s="202">
        <v>6100</v>
      </c>
      <c r="G26" s="202">
        <v>0</v>
      </c>
      <c r="H26" s="207">
        <f t="shared" si="1"/>
        <v>6100</v>
      </c>
      <c r="I26" s="207">
        <f t="shared" si="2"/>
        <v>6100</v>
      </c>
    </row>
    <row r="27" spans="1:9">
      <c r="A27" s="204" t="s">
        <v>97</v>
      </c>
      <c r="B27" s="202">
        <v>3000</v>
      </c>
      <c r="C27" s="202">
        <v>3000</v>
      </c>
      <c r="D27" s="207">
        <f t="shared" si="0"/>
        <v>0</v>
      </c>
      <c r="E27" s="207"/>
      <c r="F27" s="202">
        <v>0</v>
      </c>
      <c r="G27" s="202">
        <v>0</v>
      </c>
      <c r="H27" s="207">
        <f t="shared" si="1"/>
        <v>0</v>
      </c>
      <c r="I27" s="207">
        <f t="shared" si="2"/>
        <v>0</v>
      </c>
    </row>
    <row r="28" spans="1:9">
      <c r="A28" s="204" t="s">
        <v>98</v>
      </c>
      <c r="B28" s="202">
        <v>85400.76</v>
      </c>
      <c r="C28" s="202">
        <v>55493.39</v>
      </c>
      <c r="D28" s="207">
        <f t="shared" si="0"/>
        <v>29907.369999999995</v>
      </c>
      <c r="E28" s="207"/>
      <c r="F28" s="202">
        <v>64602.69</v>
      </c>
      <c r="G28" s="202">
        <v>84508.42</v>
      </c>
      <c r="H28" s="207">
        <f t="shared" si="1"/>
        <v>-19905.729999999996</v>
      </c>
      <c r="I28" s="207">
        <f t="shared" si="2"/>
        <v>10001.64</v>
      </c>
    </row>
    <row r="29" spans="1:9">
      <c r="A29" s="204" t="s">
        <v>99</v>
      </c>
      <c r="B29" s="202">
        <v>10198</v>
      </c>
      <c r="C29" s="202">
        <v>10198</v>
      </c>
      <c r="D29" s="207">
        <f t="shared" si="0"/>
        <v>0</v>
      </c>
      <c r="E29" s="207"/>
      <c r="F29" s="202">
        <v>18973</v>
      </c>
      <c r="G29" s="202">
        <v>18973</v>
      </c>
      <c r="H29" s="207">
        <f t="shared" si="1"/>
        <v>0</v>
      </c>
      <c r="I29" s="207">
        <f t="shared" si="2"/>
        <v>0</v>
      </c>
    </row>
    <row r="30" spans="1:9">
      <c r="A30" s="204" t="s">
        <v>100</v>
      </c>
      <c r="B30" s="202">
        <v>6785.3</v>
      </c>
      <c r="C30" s="202">
        <v>6785.3</v>
      </c>
      <c r="D30" s="207">
        <f t="shared" si="0"/>
        <v>0</v>
      </c>
      <c r="E30" s="207"/>
      <c r="F30" s="202">
        <v>0</v>
      </c>
      <c r="G30" s="202">
        <v>0</v>
      </c>
      <c r="H30" s="207">
        <f t="shared" si="1"/>
        <v>0</v>
      </c>
      <c r="I30" s="207">
        <f t="shared" si="2"/>
        <v>0</v>
      </c>
    </row>
    <row r="31" spans="1:9">
      <c r="A31" s="204" t="s">
        <v>101</v>
      </c>
      <c r="B31" s="202">
        <v>55577.52</v>
      </c>
      <c r="C31" s="202">
        <v>47986.74</v>
      </c>
      <c r="D31" s="207">
        <f t="shared" si="0"/>
        <v>7590.7799999999988</v>
      </c>
      <c r="E31" s="207"/>
      <c r="F31" s="202">
        <v>39726.81</v>
      </c>
      <c r="G31" s="202">
        <v>22817.59</v>
      </c>
      <c r="H31" s="207">
        <f t="shared" si="1"/>
        <v>16909.219999999998</v>
      </c>
      <c r="I31" s="207">
        <f t="shared" si="2"/>
        <v>24499.999999999996</v>
      </c>
    </row>
    <row r="32" spans="1:9">
      <c r="A32" s="204" t="s">
        <v>102</v>
      </c>
      <c r="B32" s="202">
        <v>565.26</v>
      </c>
      <c r="C32" s="202">
        <v>565.26</v>
      </c>
      <c r="D32" s="207">
        <f t="shared" si="0"/>
        <v>0</v>
      </c>
      <c r="E32" s="207"/>
      <c r="F32" s="202">
        <v>0</v>
      </c>
      <c r="G32" s="202">
        <v>0</v>
      </c>
      <c r="H32" s="207">
        <f t="shared" si="1"/>
        <v>0</v>
      </c>
      <c r="I32" s="207">
        <f t="shared" si="2"/>
        <v>0</v>
      </c>
    </row>
    <row r="33" spans="1:9">
      <c r="A33" s="204" t="s">
        <v>103</v>
      </c>
      <c r="B33" s="202">
        <v>22107.71</v>
      </c>
      <c r="C33" s="202">
        <v>21877.71</v>
      </c>
      <c r="D33" s="207">
        <f t="shared" si="0"/>
        <v>230</v>
      </c>
      <c r="E33" s="207"/>
      <c r="F33" s="202">
        <v>12831.34</v>
      </c>
      <c r="G33" s="202">
        <v>12831.34</v>
      </c>
      <c r="H33" s="207">
        <f t="shared" si="1"/>
        <v>0</v>
      </c>
      <c r="I33" s="207">
        <f t="shared" si="2"/>
        <v>230</v>
      </c>
    </row>
    <row r="34" spans="1:9" ht="13.8" thickBot="1">
      <c r="A34" s="204" t="s">
        <v>72</v>
      </c>
      <c r="B34" s="202">
        <v>0</v>
      </c>
      <c r="C34" s="202">
        <v>0</v>
      </c>
      <c r="D34" s="207">
        <f t="shared" si="0"/>
        <v>0</v>
      </c>
      <c r="E34" s="207"/>
      <c r="F34" s="202">
        <v>0</v>
      </c>
      <c r="G34" s="202">
        <v>0</v>
      </c>
      <c r="H34" s="207">
        <f t="shared" si="1"/>
        <v>0</v>
      </c>
      <c r="I34" s="207">
        <f t="shared" si="2"/>
        <v>0</v>
      </c>
    </row>
    <row r="35" spans="1:9" ht="13.8" thickBot="1">
      <c r="B35" s="203">
        <f>SUM(B3:B34)</f>
        <v>3705700.2599999993</v>
      </c>
      <c r="C35" s="203">
        <f t="shared" ref="C35:D35" si="3">SUM(C3:C34)</f>
        <v>3353452.2399999998</v>
      </c>
      <c r="D35" s="203">
        <f t="shared" si="3"/>
        <v>352248.02000000014</v>
      </c>
      <c r="E35" s="208"/>
      <c r="F35" s="203">
        <f t="shared" ref="F35" si="4">SUM(F3:F34)</f>
        <v>1798385.1199999999</v>
      </c>
      <c r="G35" s="203">
        <f t="shared" ref="G35" si="5">SUM(G3:G34)</f>
        <v>1918680.06</v>
      </c>
      <c r="H35" s="203">
        <f t="shared" ref="H35" si="6">SUM(H3:H34)</f>
        <v>-120294.94000000003</v>
      </c>
      <c r="I35" s="203">
        <f t="shared" ref="I35" si="7">SUM(I3:I34)</f>
        <v>231953.08000000019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topLeftCell="A11" workbookViewId="0">
      <selection activeCell="D26" sqref="D26"/>
    </sheetView>
  </sheetViews>
  <sheetFormatPr defaultRowHeight="13.8"/>
  <cols>
    <col min="1" max="1" width="37.6640625" style="6" customWidth="1"/>
    <col min="2" max="3" width="15.88671875" style="6" customWidth="1"/>
    <col min="4" max="4" width="14.5546875" style="165" customWidth="1"/>
    <col min="5" max="5" width="8.21875" customWidth="1"/>
    <col min="6" max="6" width="16" style="6" customWidth="1"/>
    <col min="7" max="7" width="16.21875" style="6" customWidth="1"/>
    <col min="8" max="8" width="15.21875" style="185" customWidth="1"/>
    <col min="9" max="9" width="15.33203125" style="185" customWidth="1"/>
    <col min="10" max="10" width="14.21875" style="165" hidden="1" customWidth="1"/>
    <col min="11" max="11" width="1" hidden="1" customWidth="1"/>
  </cols>
  <sheetData>
    <row r="1" spans="1:11">
      <c r="A1" s="2"/>
      <c r="B1" s="4"/>
      <c r="C1" s="4"/>
      <c r="F1" s="4"/>
      <c r="G1" s="4"/>
    </row>
    <row r="2" spans="1:11">
      <c r="A2"/>
      <c r="B2"/>
      <c r="C2"/>
      <c r="F2"/>
      <c r="G2"/>
    </row>
    <row r="3" spans="1:11">
      <c r="A3"/>
      <c r="B3" s="240" t="s">
        <v>67</v>
      </c>
      <c r="C3" s="240"/>
      <c r="D3" s="240"/>
      <c r="F3" s="240" t="s">
        <v>68</v>
      </c>
      <c r="G3" s="240"/>
      <c r="H3" s="240"/>
    </row>
    <row r="4" spans="1:11">
      <c r="A4"/>
      <c r="B4"/>
      <c r="C4"/>
      <c r="F4"/>
      <c r="G4"/>
    </row>
    <row r="5" spans="1:11" ht="14.4" thickBot="1">
      <c r="A5" s="7"/>
      <c r="B5" s="7"/>
      <c r="C5" s="7"/>
      <c r="F5" s="7"/>
      <c r="G5" s="7"/>
    </row>
    <row r="6" spans="1:11" ht="15.6" customHeight="1">
      <c r="A6" s="9"/>
      <c r="B6" s="226" t="s">
        <v>70</v>
      </c>
      <c r="C6" s="226" t="s">
        <v>60</v>
      </c>
      <c r="D6" s="187"/>
      <c r="F6" s="229" t="s">
        <v>71</v>
      </c>
      <c r="G6" s="229" t="s">
        <v>61</v>
      </c>
      <c r="H6" s="237" t="s">
        <v>65</v>
      </c>
      <c r="I6" s="237" t="s">
        <v>69</v>
      </c>
      <c r="J6" s="184"/>
      <c r="K6" s="197"/>
    </row>
    <row r="7" spans="1:11" ht="15.6">
      <c r="A7" s="9"/>
      <c r="B7" s="227"/>
      <c r="C7" s="227"/>
      <c r="D7" s="188"/>
      <c r="F7" s="230"/>
      <c r="G7" s="230"/>
      <c r="H7" s="238"/>
      <c r="I7" s="238"/>
      <c r="J7" s="184"/>
      <c r="K7" s="197" t="s">
        <v>63</v>
      </c>
    </row>
    <row r="8" spans="1:11" ht="25.8" customHeight="1" thickBot="1">
      <c r="A8" s="9"/>
      <c r="B8" s="228"/>
      <c r="C8" s="228"/>
      <c r="D8" s="201" t="s">
        <v>44</v>
      </c>
      <c r="F8" s="231"/>
      <c r="G8" s="231"/>
      <c r="H8" s="239"/>
      <c r="I8" s="239"/>
      <c r="J8" s="184" t="s">
        <v>62</v>
      </c>
      <c r="K8" s="197" t="s">
        <v>64</v>
      </c>
    </row>
    <row r="9" spans="1:11" ht="15.6">
      <c r="A9" s="9"/>
      <c r="B9" s="13"/>
      <c r="C9" s="13"/>
      <c r="D9" s="187"/>
      <c r="F9" s="14"/>
      <c r="G9" s="13"/>
      <c r="H9" s="192"/>
      <c r="I9" s="192"/>
      <c r="J9" s="184"/>
      <c r="K9" s="197"/>
    </row>
    <row r="10" spans="1:11" ht="15.6">
      <c r="A10" s="18" t="s">
        <v>1</v>
      </c>
      <c r="B10" s="22"/>
      <c r="C10" s="22"/>
      <c r="D10" s="188"/>
      <c r="F10" s="23"/>
      <c r="G10" s="22"/>
      <c r="H10" s="193"/>
      <c r="I10" s="193"/>
      <c r="J10" s="184"/>
      <c r="K10" s="197"/>
    </row>
    <row r="11" spans="1:11" ht="15.6">
      <c r="A11" s="26" t="s">
        <v>2</v>
      </c>
      <c r="B11" s="29">
        <f>-125028.3-10790.3</f>
        <v>-135818.6</v>
      </c>
      <c r="C11" s="29">
        <v>-64728.04</v>
      </c>
      <c r="D11" s="190">
        <f>B11-C11</f>
        <v>-71090.559999999998</v>
      </c>
      <c r="F11" s="29"/>
      <c r="G11" s="29"/>
      <c r="H11" s="195"/>
      <c r="I11" s="195"/>
      <c r="J11" s="184">
        <f>'Q4 Projections'!M11</f>
        <v>-17300</v>
      </c>
      <c r="K11" s="184">
        <f>B11+J11</f>
        <v>-153118.6</v>
      </c>
    </row>
    <row r="12" spans="1:11" ht="15.6">
      <c r="A12" s="35" t="s">
        <v>3</v>
      </c>
      <c r="B12" s="39">
        <f>SUM(B11)</f>
        <v>-135818.6</v>
      </c>
      <c r="C12" s="38">
        <f>SUM(C11)</f>
        <v>-64728.04</v>
      </c>
      <c r="D12" s="188">
        <f>B12-C12</f>
        <v>-71090.559999999998</v>
      </c>
      <c r="F12" s="38">
        <f>SUM(F11)</f>
        <v>0</v>
      </c>
      <c r="G12" s="38">
        <f>SUM(G11)</f>
        <v>0</v>
      </c>
      <c r="H12" s="193"/>
      <c r="I12" s="193"/>
      <c r="J12" s="184">
        <f>D12*4</f>
        <v>-284362.23999999999</v>
      </c>
      <c r="K12" s="184">
        <f>B12+J12</f>
        <v>-420180.83999999997</v>
      </c>
    </row>
    <row r="13" spans="1:11" ht="15.6">
      <c r="A13" s="26"/>
      <c r="B13" s="44"/>
      <c r="C13" s="44"/>
      <c r="D13" s="188"/>
      <c r="F13" s="44"/>
      <c r="G13" s="44"/>
      <c r="H13" s="193"/>
      <c r="I13" s="193"/>
      <c r="J13" s="184"/>
      <c r="K13" s="197"/>
    </row>
    <row r="14" spans="1:11" ht="15.6">
      <c r="A14" s="49" t="s">
        <v>4</v>
      </c>
      <c r="B14" s="44"/>
      <c r="C14" s="44"/>
      <c r="D14" s="188"/>
      <c r="F14" s="44"/>
      <c r="G14" s="44"/>
      <c r="H14" s="193"/>
      <c r="I14" s="193"/>
      <c r="J14" s="184"/>
      <c r="K14" s="197"/>
    </row>
    <row r="15" spans="1:11" ht="15.6">
      <c r="A15" s="51" t="s">
        <v>5</v>
      </c>
      <c r="B15" s="44"/>
      <c r="C15" s="44"/>
      <c r="D15" s="188"/>
      <c r="F15" s="44"/>
      <c r="G15" s="44"/>
      <c r="H15" s="193"/>
      <c r="I15" s="193"/>
      <c r="J15" s="184"/>
      <c r="K15" s="197"/>
    </row>
    <row r="16" spans="1:11" ht="15.6">
      <c r="A16" s="52" t="s">
        <v>6</v>
      </c>
      <c r="B16" s="176">
        <f>5240498.01-3872.13+1630900.91+340173.4+2956119.96+434764.47+114426.73+25435.9</f>
        <v>10738447.250000002</v>
      </c>
      <c r="C16" s="176">
        <v>9073926.6600000001</v>
      </c>
      <c r="D16" s="188">
        <f t="shared" ref="D16:D19" si="0">B16-C16</f>
        <v>1664520.5900000017</v>
      </c>
      <c r="F16" s="53"/>
      <c r="G16" s="53"/>
      <c r="H16" s="193"/>
      <c r="I16" s="193"/>
      <c r="J16" s="184">
        <f>D16*4</f>
        <v>6658082.3600000069</v>
      </c>
      <c r="K16" s="184">
        <f>B16+J16</f>
        <v>17396529.610000007</v>
      </c>
    </row>
    <row r="17" spans="1:11" ht="15.6">
      <c r="A17" s="52" t="s">
        <v>7</v>
      </c>
      <c r="B17" s="53">
        <f>3872.13+173191.91+53772.02+30630.41+153731.86+6009.53+157.26</f>
        <v>421365.12</v>
      </c>
      <c r="C17" s="53">
        <v>365077.59</v>
      </c>
      <c r="D17" s="188">
        <f t="shared" si="0"/>
        <v>56287.52999999997</v>
      </c>
      <c r="F17" s="53"/>
      <c r="G17" s="53"/>
      <c r="H17" s="193"/>
      <c r="I17" s="193"/>
      <c r="J17" s="184">
        <f t="shared" ref="J17:J18" si="1">D17*4</f>
        <v>225150.11999999988</v>
      </c>
      <c r="K17" s="184">
        <f t="shared" ref="K17:K18" si="2">B17+J17</f>
        <v>646515.23999999987</v>
      </c>
    </row>
    <row r="18" spans="1:11" ht="15.6">
      <c r="A18" s="52" t="s">
        <v>8</v>
      </c>
      <c r="B18" s="76">
        <v>5671218.5599999996</v>
      </c>
      <c r="C18" s="76">
        <v>4796790.3099999996</v>
      </c>
      <c r="D18" s="190">
        <f t="shared" si="0"/>
        <v>874428.25</v>
      </c>
      <c r="F18" s="53"/>
      <c r="G18" s="53"/>
      <c r="H18" s="195"/>
      <c r="I18" s="195"/>
      <c r="J18" s="198">
        <f t="shared" si="1"/>
        <v>3497713</v>
      </c>
      <c r="K18" s="198">
        <f t="shared" si="2"/>
        <v>9168931.5599999987</v>
      </c>
    </row>
    <row r="19" spans="1:11" ht="15.6">
      <c r="A19" s="51" t="s">
        <v>9</v>
      </c>
      <c r="B19" s="54">
        <f>SUM(B16:B18)</f>
        <v>16831030.93</v>
      </c>
      <c r="C19" s="58">
        <f>SUM(C16:C18)</f>
        <v>14235794.559999999</v>
      </c>
      <c r="D19" s="188">
        <f t="shared" si="0"/>
        <v>2595236.370000001</v>
      </c>
      <c r="F19" s="58">
        <f>SUM(F16:F18)</f>
        <v>0</v>
      </c>
      <c r="G19" s="58">
        <f>SUM(G16:G18)</f>
        <v>0</v>
      </c>
      <c r="H19" s="193"/>
      <c r="I19" s="193"/>
      <c r="J19" s="184">
        <f>SUM(J16:J18)</f>
        <v>10380945.480000008</v>
      </c>
      <c r="K19" s="184">
        <f>B19+J19</f>
        <v>27211976.410000008</v>
      </c>
    </row>
    <row r="20" spans="1:11" ht="15.6">
      <c r="A20" s="26"/>
      <c r="B20" s="63"/>
      <c r="C20" s="63"/>
      <c r="D20" s="190"/>
      <c r="F20" s="63"/>
      <c r="G20" s="63"/>
      <c r="H20" s="195"/>
      <c r="I20" s="195"/>
      <c r="J20" s="184"/>
      <c r="K20" s="197"/>
    </row>
    <row r="21" spans="1:11" ht="15.6">
      <c r="A21" s="26"/>
      <c r="B21" s="44"/>
      <c r="C21" s="44"/>
      <c r="D21" s="188"/>
      <c r="F21" s="44"/>
      <c r="G21" s="44"/>
      <c r="H21" s="193"/>
      <c r="I21" s="193"/>
      <c r="J21" s="184"/>
      <c r="K21" s="197"/>
    </row>
    <row r="22" spans="1:11" ht="15.6">
      <c r="A22" s="51" t="s">
        <v>10</v>
      </c>
      <c r="B22" s="44"/>
      <c r="C22" s="44"/>
      <c r="D22" s="188"/>
      <c r="F22" s="44"/>
      <c r="G22" s="44"/>
      <c r="H22" s="193"/>
      <c r="I22" s="193"/>
      <c r="J22" s="184"/>
      <c r="K22" s="197"/>
    </row>
    <row r="23" spans="1:11" ht="15.6">
      <c r="A23" s="68" t="s">
        <v>11</v>
      </c>
      <c r="B23" s="44">
        <v>6400</v>
      </c>
      <c r="C23" s="44">
        <v>6400</v>
      </c>
      <c r="D23" s="188">
        <f t="shared" ref="D23:D35" si="3">B23-C23</f>
        <v>0</v>
      </c>
      <c r="F23" s="44"/>
      <c r="G23" s="44"/>
      <c r="H23" s="193"/>
      <c r="I23" s="188">
        <f>D23+H23</f>
        <v>0</v>
      </c>
      <c r="J23" s="184">
        <f>D23*4</f>
        <v>0</v>
      </c>
      <c r="K23" s="184">
        <f>B23+J23</f>
        <v>6400</v>
      </c>
    </row>
    <row r="24" spans="1:11" ht="15.6">
      <c r="A24" s="68" t="s">
        <v>12</v>
      </c>
      <c r="B24" s="44"/>
      <c r="C24" s="44"/>
      <c r="D24" s="188"/>
      <c r="F24" s="44"/>
      <c r="G24" s="44"/>
      <c r="H24" s="193"/>
      <c r="I24" s="193"/>
      <c r="J24" s="184"/>
      <c r="K24" s="197"/>
    </row>
    <row r="25" spans="1:11" ht="15.6">
      <c r="A25" s="68" t="s">
        <v>13</v>
      </c>
      <c r="B25" s="44">
        <v>34100.49</v>
      </c>
      <c r="C25" s="44">
        <v>31170.34</v>
      </c>
      <c r="D25" s="188">
        <f t="shared" si="3"/>
        <v>2930.1499999999978</v>
      </c>
      <c r="F25" s="44">
        <v>7.06</v>
      </c>
      <c r="G25" s="44">
        <v>59.97</v>
      </c>
      <c r="H25" s="188">
        <f>F25-G25</f>
        <v>-52.91</v>
      </c>
      <c r="I25" s="188">
        <f>D25+H25</f>
        <v>2877.239999999998</v>
      </c>
      <c r="J25" s="184">
        <f>D25*4</f>
        <v>11720.599999999991</v>
      </c>
      <c r="K25" s="184">
        <f t="shared" ref="K25:K26" si="4">B25+J25</f>
        <v>45821.089999999989</v>
      </c>
    </row>
    <row r="26" spans="1:11" ht="15.6">
      <c r="A26" s="68" t="s">
        <v>14</v>
      </c>
      <c r="B26" s="44">
        <v>3705700.26</v>
      </c>
      <c r="C26" s="44">
        <v>3353452.24</v>
      </c>
      <c r="D26" s="188">
        <f t="shared" si="3"/>
        <v>352248.01999999955</v>
      </c>
      <c r="F26" s="44">
        <v>1798385.12</v>
      </c>
      <c r="G26" s="44">
        <v>1918680.06</v>
      </c>
      <c r="H26" s="188">
        <f t="shared" ref="H26:H39" si="5">F26-G26</f>
        <v>-120294.93999999994</v>
      </c>
      <c r="I26" s="188">
        <f>D26+H26</f>
        <v>231953.07999999961</v>
      </c>
      <c r="J26" s="184">
        <f>D26*4</f>
        <v>1408992.0799999982</v>
      </c>
      <c r="K26" s="184">
        <f t="shared" si="4"/>
        <v>5114692.339999998</v>
      </c>
    </row>
    <row r="27" spans="1:11" ht="15.6">
      <c r="A27" s="68" t="s">
        <v>15</v>
      </c>
      <c r="B27" s="44"/>
      <c r="C27" s="44"/>
      <c r="D27" s="188"/>
      <c r="F27" s="44"/>
      <c r="G27" s="44"/>
      <c r="H27" s="188"/>
      <c r="I27" s="188"/>
      <c r="J27" s="184"/>
      <c r="K27" s="197"/>
    </row>
    <row r="28" spans="1:11" ht="15.6">
      <c r="A28" s="70" t="s">
        <v>16</v>
      </c>
      <c r="B28" s="44">
        <v>490311.02</v>
      </c>
      <c r="C28" s="44">
        <v>444228.83</v>
      </c>
      <c r="D28" s="188">
        <f t="shared" si="3"/>
        <v>46082.19</v>
      </c>
      <c r="F28" s="44">
        <v>134911.66</v>
      </c>
      <c r="G28" s="44">
        <v>180922.86</v>
      </c>
      <c r="H28" s="188">
        <f t="shared" si="5"/>
        <v>-46011.199999999983</v>
      </c>
      <c r="I28" s="188">
        <f>D28+H28</f>
        <v>70.990000000019791</v>
      </c>
      <c r="J28" s="184">
        <f>D28*4</f>
        <v>184328.76</v>
      </c>
      <c r="K28" s="184">
        <f>B28+J28</f>
        <v>674639.78</v>
      </c>
    </row>
    <row r="29" spans="1:11" ht="15.6">
      <c r="A29" s="70" t="s">
        <v>17</v>
      </c>
      <c r="B29" s="44"/>
      <c r="C29" s="44"/>
      <c r="D29" s="188"/>
      <c r="F29" s="44"/>
      <c r="G29" s="44"/>
      <c r="H29" s="188"/>
      <c r="I29" s="188"/>
      <c r="J29" s="184"/>
      <c r="K29" s="197"/>
    </row>
    <row r="30" spans="1:11" ht="15.6">
      <c r="A30" s="68" t="s">
        <v>18</v>
      </c>
      <c r="B30" s="44">
        <v>14502.5</v>
      </c>
      <c r="C30" s="44">
        <v>14412.5</v>
      </c>
      <c r="D30" s="188">
        <f t="shared" si="3"/>
        <v>90</v>
      </c>
      <c r="F30" s="44">
        <v>0</v>
      </c>
      <c r="G30" s="44">
        <v>0</v>
      </c>
      <c r="H30" s="188"/>
      <c r="I30" s="188">
        <f>D30+H30</f>
        <v>90</v>
      </c>
      <c r="J30" s="184">
        <f>D30*4</f>
        <v>360</v>
      </c>
      <c r="K30" s="184">
        <f t="shared" ref="K30:K34" si="6">B30+J30</f>
        <v>14862.5</v>
      </c>
    </row>
    <row r="31" spans="1:11" ht="15.6">
      <c r="A31" s="68" t="s">
        <v>19</v>
      </c>
      <c r="B31" s="44">
        <v>195058.85</v>
      </c>
      <c r="C31" s="44">
        <v>168727.61</v>
      </c>
      <c r="D31" s="188">
        <f t="shared" si="3"/>
        <v>26331.24000000002</v>
      </c>
      <c r="F31" s="44">
        <v>86367.74</v>
      </c>
      <c r="G31" s="44">
        <v>110784.92</v>
      </c>
      <c r="H31" s="188">
        <f t="shared" si="5"/>
        <v>-24417.179999999993</v>
      </c>
      <c r="I31" s="188">
        <f>D31+H31</f>
        <v>1914.0600000000268</v>
      </c>
      <c r="J31" s="184">
        <f>D31*4</f>
        <v>105324.96000000008</v>
      </c>
      <c r="K31" s="184">
        <f t="shared" si="6"/>
        <v>300383.81000000006</v>
      </c>
    </row>
    <row r="32" spans="1:11" ht="15.6">
      <c r="A32" s="68" t="s">
        <v>20</v>
      </c>
      <c r="B32" s="44">
        <v>80741.740000000005</v>
      </c>
      <c r="C32" s="44">
        <v>72583.11</v>
      </c>
      <c r="D32" s="188">
        <f t="shared" si="3"/>
        <v>8158.6300000000047</v>
      </c>
      <c r="F32" s="44">
        <v>607.34</v>
      </c>
      <c r="G32" s="44">
        <v>141.85</v>
      </c>
      <c r="H32" s="188">
        <f t="shared" si="5"/>
        <v>465.49</v>
      </c>
      <c r="I32" s="188">
        <f>D32+H32</f>
        <v>8624.1200000000044</v>
      </c>
      <c r="J32" s="184">
        <f>D32*4</f>
        <v>32634.520000000019</v>
      </c>
      <c r="K32" s="184">
        <f t="shared" si="6"/>
        <v>113376.26000000002</v>
      </c>
    </row>
    <row r="33" spans="1:12" ht="15.6">
      <c r="A33" s="72" t="s">
        <v>21</v>
      </c>
      <c r="B33" s="44">
        <v>-45440.62</v>
      </c>
      <c r="C33" s="44">
        <v>-46227.85</v>
      </c>
      <c r="D33" s="188">
        <f t="shared" si="3"/>
        <v>787.22999999999593</v>
      </c>
      <c r="F33" s="44">
        <v>16876.36</v>
      </c>
      <c r="G33" s="44">
        <v>16876.36</v>
      </c>
      <c r="H33" s="188"/>
      <c r="I33" s="188">
        <f>D33+H33</f>
        <v>787.22999999999593</v>
      </c>
      <c r="J33" s="184">
        <f>D33*4</f>
        <v>3148.9199999999837</v>
      </c>
      <c r="K33" s="184">
        <f t="shared" si="6"/>
        <v>-42291.700000000019</v>
      </c>
    </row>
    <row r="34" spans="1:12" ht="15.6">
      <c r="A34" s="72" t="s">
        <v>22</v>
      </c>
      <c r="B34" s="76">
        <v>-2507747.73</v>
      </c>
      <c r="C34" s="76">
        <v>-2191010.42</v>
      </c>
      <c r="D34" s="190">
        <f t="shared" si="3"/>
        <v>-316737.31000000006</v>
      </c>
      <c r="F34" s="76"/>
      <c r="G34" s="76"/>
      <c r="H34" s="190"/>
      <c r="I34" s="188"/>
      <c r="J34" s="198">
        <f>D34*4</f>
        <v>-1266949.2400000002</v>
      </c>
      <c r="K34" s="198">
        <f t="shared" si="6"/>
        <v>-3774696.97</v>
      </c>
    </row>
    <row r="35" spans="1:12" ht="15.6">
      <c r="A35" s="78" t="s">
        <v>23</v>
      </c>
      <c r="B35" s="80">
        <f>SUM(B22:B34)</f>
        <v>1973626.5099999993</v>
      </c>
      <c r="C35" s="80">
        <f>SUM(C22:C34)</f>
        <v>1853736.3599999999</v>
      </c>
      <c r="D35" s="191">
        <f t="shared" si="3"/>
        <v>119890.14999999944</v>
      </c>
      <c r="F35" s="80">
        <f>SUM(F22:F34)</f>
        <v>2037155.2800000003</v>
      </c>
      <c r="G35" s="80">
        <f>SUM(G22:G34)</f>
        <v>2227466.02</v>
      </c>
      <c r="H35" s="191">
        <f t="shared" si="5"/>
        <v>-190310.73999999976</v>
      </c>
      <c r="I35" s="200">
        <f>SUM(I23:I34)</f>
        <v>246316.71999999962</v>
      </c>
      <c r="J35" s="199">
        <f>SUM(J21:J34)</f>
        <v>479560.59999999823</v>
      </c>
      <c r="K35" s="199">
        <f>B35+J35</f>
        <v>2453187.1099999975</v>
      </c>
      <c r="L35" t="s">
        <v>66</v>
      </c>
    </row>
    <row r="36" spans="1:12" ht="15.6">
      <c r="A36" s="85" t="s">
        <v>24</v>
      </c>
      <c r="B36" s="87">
        <f>B19+B35</f>
        <v>18804657.439999998</v>
      </c>
      <c r="C36" s="87">
        <f>C19+C35</f>
        <v>16089530.919999998</v>
      </c>
      <c r="D36" s="87">
        <f>D19+D35</f>
        <v>2715126.5200000005</v>
      </c>
      <c r="F36" s="87">
        <f>F19+F35</f>
        <v>2037155.2800000003</v>
      </c>
      <c r="G36" s="87">
        <f>G19+G35</f>
        <v>2227466.02</v>
      </c>
      <c r="H36" s="188">
        <f t="shared" si="5"/>
        <v>-190310.73999999976</v>
      </c>
      <c r="I36" s="188"/>
      <c r="J36" s="184">
        <f>J35+J19</f>
        <v>10860506.080000006</v>
      </c>
      <c r="K36" s="184">
        <f>B36+J36</f>
        <v>29665163.520000003</v>
      </c>
    </row>
    <row r="37" spans="1:12">
      <c r="A37" s="91"/>
      <c r="B37" s="92"/>
      <c r="C37" s="92"/>
      <c r="D37" s="188"/>
      <c r="F37" s="92"/>
      <c r="G37" s="92"/>
      <c r="H37" s="188"/>
      <c r="I37" s="188"/>
    </row>
    <row r="38" spans="1:12">
      <c r="A38" s="51" t="s">
        <v>25</v>
      </c>
      <c r="B38" s="97"/>
      <c r="C38" s="97"/>
      <c r="D38" s="188"/>
      <c r="F38" s="97"/>
      <c r="G38" s="97"/>
      <c r="H38" s="188"/>
      <c r="I38" s="188"/>
    </row>
    <row r="39" spans="1:12" ht="16.2" thickBot="1">
      <c r="A39" s="85" t="s">
        <v>26</v>
      </c>
      <c r="B39" s="104">
        <f>B12+B36+B38</f>
        <v>18668838.839999996</v>
      </c>
      <c r="C39" s="104">
        <f>C12+C36+C38</f>
        <v>16024802.879999999</v>
      </c>
      <c r="D39" s="104">
        <f>D12+D36+D38</f>
        <v>2644035.9600000004</v>
      </c>
      <c r="F39" s="104">
        <f>F12+F36+F38</f>
        <v>2037155.2800000003</v>
      </c>
      <c r="G39" s="104">
        <f>G12+G36+G38</f>
        <v>2227466.02</v>
      </c>
      <c r="H39" s="196">
        <f t="shared" si="5"/>
        <v>-190310.73999999976</v>
      </c>
      <c r="I39" s="196"/>
      <c r="J39" s="154">
        <f>J12+J36+J38</f>
        <v>10576143.840000005</v>
      </c>
      <c r="K39" s="186">
        <f>K12+K36+K38</f>
        <v>29244982.680000003</v>
      </c>
    </row>
    <row r="40" spans="1:12" ht="15" thickTop="1" thickBot="1">
      <c r="A40" s="26"/>
      <c r="B40" s="111"/>
      <c r="C40" s="111"/>
      <c r="D40" s="189"/>
      <c r="F40" s="111"/>
      <c r="G40" s="111"/>
      <c r="H40" s="194"/>
      <c r="I40" s="194"/>
    </row>
    <row r="41" spans="1:12" ht="15.6">
      <c r="A41" s="115"/>
      <c r="B41" s="118"/>
      <c r="C41" s="118"/>
      <c r="F41" s="118"/>
      <c r="G41" s="118"/>
    </row>
    <row r="42" spans="1:12" ht="15.6">
      <c r="A42" s="122"/>
      <c r="B42" s="126"/>
      <c r="C42" s="126"/>
      <c r="F42" s="126"/>
      <c r="G42" s="126"/>
    </row>
    <row r="43" spans="1:12" ht="15.6">
      <c r="A43" s="182"/>
      <c r="B43" s="126"/>
      <c r="C43" s="126"/>
      <c r="F43" s="126"/>
      <c r="G43" s="126"/>
    </row>
    <row r="44" spans="1:12" ht="15.6">
      <c r="A44" s="177" t="s">
        <v>32</v>
      </c>
      <c r="B44" s="126"/>
      <c r="C44" s="126"/>
      <c r="F44" s="126"/>
      <c r="G44" s="126"/>
    </row>
    <row r="45" spans="1:12" ht="15.6">
      <c r="A45" s="122" t="s">
        <v>35</v>
      </c>
      <c r="B45" s="126"/>
      <c r="C45" s="126"/>
      <c r="F45" s="126"/>
      <c r="G45" s="126"/>
    </row>
    <row r="46" spans="1:12" ht="15.6">
      <c r="A46" s="115"/>
    </row>
    <row r="47" spans="1:12">
      <c r="A47"/>
      <c r="B47"/>
      <c r="C47"/>
      <c r="F47"/>
      <c r="G47"/>
    </row>
    <row r="48" spans="1:12" ht="15.6">
      <c r="A48" s="115"/>
    </row>
    <row r="49" spans="1:7" ht="15.6">
      <c r="A49" s="115"/>
    </row>
    <row r="50" spans="1:7">
      <c r="A50" s="52"/>
    </row>
    <row r="51" spans="1:7">
      <c r="A51" s="51"/>
    </row>
    <row r="52" spans="1:7" ht="15.6">
      <c r="A52" s="68"/>
      <c r="B52" s="135"/>
      <c r="C52" s="135"/>
      <c r="F52" s="135"/>
      <c r="G52" s="135"/>
    </row>
    <row r="53" spans="1:7" ht="15.6">
      <c r="A53" s="68"/>
      <c r="B53" s="135"/>
      <c r="C53" s="135"/>
      <c r="F53" s="135"/>
      <c r="G53" s="135"/>
    </row>
    <row r="54" spans="1:7" ht="15.6">
      <c r="A54" s="68"/>
      <c r="B54" s="135"/>
      <c r="C54" s="135"/>
      <c r="F54" s="135"/>
      <c r="G54" s="135"/>
    </row>
    <row r="55" spans="1:7" ht="15.6">
      <c r="A55" s="68"/>
      <c r="B55" s="135"/>
      <c r="C55" s="135"/>
      <c r="F55" s="135"/>
      <c r="G55" s="135"/>
    </row>
    <row r="56" spans="1:7">
      <c r="A56" s="68"/>
    </row>
    <row r="57" spans="1:7">
      <c r="A57" s="70"/>
    </row>
    <row r="58" spans="1:7">
      <c r="A58" s="70"/>
    </row>
    <row r="59" spans="1:7">
      <c r="A59" s="68"/>
    </row>
    <row r="60" spans="1:7">
      <c r="A60" s="68"/>
    </row>
    <row r="61" spans="1:7">
      <c r="A61" s="68"/>
    </row>
    <row r="62" spans="1:7">
      <c r="A62" s="72"/>
    </row>
  </sheetData>
  <mergeCells count="8">
    <mergeCell ref="I6:I8"/>
    <mergeCell ref="F3:H3"/>
    <mergeCell ref="B3:D3"/>
    <mergeCell ref="C6:C8"/>
    <mergeCell ref="B6:B8"/>
    <mergeCell ref="F6:F8"/>
    <mergeCell ref="G6:G8"/>
    <mergeCell ref="H6:H8"/>
  </mergeCells>
  <pageMargins left="0.7" right="0.7" top="0.25" bottom="0.25" header="0.3" footer="0.3"/>
  <pageSetup paperSize="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6"/>
  <sheetViews>
    <sheetView topLeftCell="A8" workbookViewId="0">
      <selection activeCell="A39" sqref="A39"/>
    </sheetView>
  </sheetViews>
  <sheetFormatPr defaultRowHeight="13.2"/>
  <cols>
    <col min="1" max="1" width="36.88671875" customWidth="1"/>
    <col min="2" max="2" width="17" customWidth="1"/>
    <col min="3" max="3" width="12.21875" customWidth="1"/>
    <col min="4" max="4" width="12.44140625" bestFit="1" customWidth="1"/>
    <col min="9" max="9" width="11" bestFit="1" customWidth="1"/>
    <col min="13" max="13" width="11" bestFit="1" customWidth="1"/>
  </cols>
  <sheetData>
    <row r="2" spans="1:13" ht="13.8">
      <c r="A2" s="241" t="s">
        <v>56</v>
      </c>
      <c r="B2" s="241"/>
      <c r="C2" s="241"/>
      <c r="D2" s="241"/>
      <c r="E2" s="241"/>
    </row>
    <row r="3" spans="1:13">
      <c r="B3" s="162"/>
      <c r="C3" s="162"/>
      <c r="D3" s="162"/>
      <c r="E3" s="162"/>
      <c r="F3" s="162"/>
      <c r="G3" s="162"/>
    </row>
    <row r="4" spans="1:13">
      <c r="A4" t="s">
        <v>40</v>
      </c>
      <c r="B4" s="162">
        <f>16908965.6</f>
        <v>16908965.600000001</v>
      </c>
      <c r="C4" s="162"/>
      <c r="D4" s="162"/>
      <c r="E4" s="162"/>
      <c r="F4" s="162"/>
      <c r="G4" s="162"/>
    </row>
    <row r="5" spans="1:13">
      <c r="A5" t="s">
        <v>37</v>
      </c>
      <c r="B5" s="162"/>
      <c r="C5" s="162"/>
      <c r="D5" s="162"/>
      <c r="E5" s="162"/>
      <c r="F5" s="162"/>
      <c r="G5" s="162"/>
      <c r="I5" s="174"/>
      <c r="J5" s="174"/>
      <c r="K5" s="174"/>
      <c r="L5" s="174"/>
      <c r="M5" s="174"/>
    </row>
    <row r="6" spans="1:13">
      <c r="A6" t="s">
        <v>38</v>
      </c>
      <c r="B6" s="162"/>
      <c r="C6" s="162"/>
      <c r="D6" s="162"/>
      <c r="E6" s="162"/>
      <c r="F6" s="162"/>
      <c r="G6" s="162"/>
      <c r="I6" s="174"/>
      <c r="J6" s="174"/>
      <c r="K6" s="174"/>
      <c r="L6" s="174"/>
      <c r="M6" s="174"/>
    </row>
    <row r="7" spans="1:13">
      <c r="A7" t="s">
        <v>7</v>
      </c>
      <c r="B7" s="162">
        <v>338880</v>
      </c>
      <c r="C7" s="162"/>
      <c r="D7" s="162"/>
      <c r="E7" s="162"/>
      <c r="F7" s="162"/>
      <c r="G7" s="162"/>
      <c r="I7" s="174"/>
      <c r="J7" s="174"/>
      <c r="K7" s="174"/>
      <c r="L7" s="174"/>
      <c r="M7" s="174"/>
    </row>
    <row r="8" spans="1:13">
      <c r="A8" t="s">
        <v>39</v>
      </c>
      <c r="B8" s="162">
        <f>SUM(B4:B7)</f>
        <v>17247845.600000001</v>
      </c>
      <c r="C8" s="162"/>
      <c r="D8" s="162"/>
      <c r="E8" s="162"/>
      <c r="F8" s="162"/>
      <c r="G8" s="162"/>
      <c r="I8" s="174"/>
      <c r="J8" s="174"/>
      <c r="K8" s="174"/>
      <c r="L8" s="174"/>
      <c r="M8" s="174"/>
    </row>
    <row r="9" spans="1:13">
      <c r="C9" s="162"/>
      <c r="D9" s="162"/>
      <c r="E9" s="162"/>
      <c r="F9" s="162"/>
      <c r="G9" s="162"/>
      <c r="I9" s="174"/>
      <c r="J9" s="174"/>
      <c r="K9" s="174"/>
      <c r="L9" s="174"/>
      <c r="M9" s="174"/>
    </row>
    <row r="10" spans="1:13">
      <c r="A10" t="s">
        <v>57</v>
      </c>
      <c r="B10" s="162">
        <f>'Q4 Projections'!G16</f>
        <v>16857958.5</v>
      </c>
      <c r="C10" s="162"/>
      <c r="D10" s="162"/>
      <c r="E10" s="162"/>
      <c r="F10" s="162"/>
      <c r="G10" s="162"/>
      <c r="I10" s="174"/>
      <c r="J10" s="174"/>
      <c r="K10" s="174"/>
      <c r="L10" s="174"/>
      <c r="M10" s="174"/>
    </row>
    <row r="11" spans="1:13">
      <c r="A11" t="s">
        <v>7</v>
      </c>
      <c r="B11" s="164">
        <v>420000</v>
      </c>
      <c r="C11" s="162"/>
      <c r="D11" s="162"/>
      <c r="E11" s="162"/>
      <c r="F11" s="162"/>
      <c r="G11" s="162"/>
      <c r="I11" s="174"/>
      <c r="J11" s="174"/>
      <c r="K11" s="174"/>
      <c r="L11" s="174"/>
      <c r="M11" s="174"/>
    </row>
    <row r="12" spans="1:13">
      <c r="B12" s="162">
        <f>SUM(B10:B11)</f>
        <v>17277958.5</v>
      </c>
      <c r="C12" s="162"/>
      <c r="D12" s="162"/>
      <c r="E12" s="162"/>
      <c r="F12" s="162"/>
      <c r="G12" s="162"/>
      <c r="I12" s="174"/>
      <c r="J12" s="174"/>
      <c r="K12" s="174"/>
      <c r="L12" s="174"/>
      <c r="M12" s="174"/>
    </row>
    <row r="13" spans="1:13">
      <c r="B13" s="162"/>
      <c r="C13" s="162"/>
      <c r="D13" s="162"/>
      <c r="E13" s="162"/>
      <c r="F13" s="162"/>
      <c r="G13" s="162"/>
      <c r="I13" s="174"/>
      <c r="J13" s="174"/>
      <c r="K13" s="174"/>
      <c r="L13" s="174"/>
      <c r="M13" s="174"/>
    </row>
    <row r="14" spans="1:13">
      <c r="A14" t="s">
        <v>44</v>
      </c>
      <c r="B14" s="162">
        <f>B8-B12</f>
        <v>-30112.89999999851</v>
      </c>
      <c r="C14" s="162"/>
      <c r="D14" s="162"/>
      <c r="E14" s="162"/>
      <c r="F14" s="162"/>
      <c r="G14" s="162"/>
      <c r="I14" s="174"/>
      <c r="J14" s="174"/>
      <c r="K14" s="174"/>
      <c r="L14" s="174"/>
      <c r="M14" s="174"/>
    </row>
    <row r="15" spans="1:13">
      <c r="C15" s="162"/>
      <c r="D15" s="162"/>
      <c r="E15" s="162"/>
      <c r="F15" s="162"/>
      <c r="G15" s="162"/>
      <c r="I15" s="174"/>
      <c r="J15" s="174"/>
      <c r="K15" s="174"/>
      <c r="L15" s="174"/>
      <c r="M15" s="174"/>
    </row>
    <row r="16" spans="1:13">
      <c r="A16" t="s">
        <v>41</v>
      </c>
      <c r="B16" s="162"/>
      <c r="C16" s="162"/>
      <c r="D16" s="162"/>
      <c r="E16" s="162"/>
      <c r="F16" s="162"/>
      <c r="G16" s="162"/>
      <c r="I16" s="174"/>
      <c r="J16" s="174"/>
      <c r="K16" s="174"/>
      <c r="L16" s="174"/>
      <c r="M16" s="174"/>
    </row>
    <row r="17" spans="1:13">
      <c r="A17" t="s">
        <v>42</v>
      </c>
      <c r="B17" s="171">
        <v>-16370</v>
      </c>
      <c r="C17" s="171" t="s">
        <v>49</v>
      </c>
      <c r="D17" s="171"/>
      <c r="E17" s="171"/>
      <c r="F17" s="162"/>
      <c r="G17" s="162"/>
      <c r="I17" s="174"/>
      <c r="J17" s="174"/>
      <c r="K17" s="174"/>
      <c r="L17" s="174"/>
      <c r="M17" s="174"/>
    </row>
    <row r="18" spans="1:13">
      <c r="A18" t="s">
        <v>42</v>
      </c>
      <c r="B18" s="171">
        <v>-66941</v>
      </c>
      <c r="C18" s="171" t="s">
        <v>49</v>
      </c>
      <c r="D18" s="171"/>
      <c r="E18" s="171"/>
      <c r="F18" s="162"/>
      <c r="G18" s="162"/>
      <c r="I18" s="174"/>
      <c r="J18" s="174"/>
      <c r="K18" s="174"/>
      <c r="L18" s="174"/>
      <c r="M18" s="174"/>
    </row>
    <row r="19" spans="1:13">
      <c r="A19" t="s">
        <v>42</v>
      </c>
      <c r="B19" s="171">
        <v>-68194</v>
      </c>
      <c r="C19" s="171" t="s">
        <v>49</v>
      </c>
      <c r="D19" s="171"/>
      <c r="E19" s="171"/>
      <c r="F19" s="162"/>
      <c r="G19" s="162"/>
      <c r="I19" s="174"/>
      <c r="J19" s="174"/>
      <c r="K19" s="174"/>
      <c r="L19" s="174"/>
      <c r="M19" s="174"/>
    </row>
    <row r="20" spans="1:13">
      <c r="A20" t="s">
        <v>43</v>
      </c>
      <c r="B20" s="171">
        <v>10000</v>
      </c>
      <c r="C20" s="171" t="s">
        <v>50</v>
      </c>
      <c r="D20" s="171"/>
      <c r="E20" s="171"/>
      <c r="F20" s="162"/>
      <c r="G20" s="162"/>
      <c r="I20" s="174"/>
      <c r="J20" s="174"/>
      <c r="K20" s="174"/>
      <c r="L20" s="174"/>
      <c r="M20" s="174"/>
    </row>
    <row r="21" spans="1:13">
      <c r="B21" s="40"/>
      <c r="C21" s="171"/>
      <c r="D21" s="171"/>
      <c r="E21" s="171"/>
      <c r="F21" s="162"/>
      <c r="G21" s="162"/>
      <c r="I21" s="174"/>
      <c r="J21" s="174"/>
      <c r="K21" s="174"/>
      <c r="L21" s="174"/>
      <c r="M21" s="174"/>
    </row>
    <row r="22" spans="1:13">
      <c r="A22" t="s">
        <v>45</v>
      </c>
      <c r="B22" s="171">
        <f>SUM(B17:B21)</f>
        <v>-141505</v>
      </c>
      <c r="C22" s="171"/>
      <c r="D22" s="171"/>
      <c r="E22" s="171"/>
      <c r="F22" s="162"/>
      <c r="G22" s="162"/>
      <c r="I22" s="174"/>
      <c r="J22" s="174"/>
      <c r="K22" s="174"/>
      <c r="L22" s="174"/>
      <c r="M22" s="174"/>
    </row>
    <row r="23" spans="1:13">
      <c r="B23" s="171"/>
      <c r="C23" s="171"/>
      <c r="D23" s="171"/>
      <c r="E23" s="171"/>
      <c r="F23" s="162"/>
      <c r="G23" s="162"/>
    </row>
    <row r="24" spans="1:13">
      <c r="B24" s="171"/>
      <c r="C24" s="171"/>
      <c r="D24" s="171"/>
      <c r="E24" s="171"/>
      <c r="F24" s="162"/>
      <c r="G24" s="162"/>
    </row>
    <row r="25" spans="1:13">
      <c r="B25" s="40" t="s">
        <v>47</v>
      </c>
      <c r="C25" s="40" t="s">
        <v>48</v>
      </c>
      <c r="D25" s="40"/>
      <c r="E25" s="40"/>
    </row>
    <row r="26" spans="1:13">
      <c r="A26" t="s">
        <v>46</v>
      </c>
      <c r="B26" s="168">
        <v>63684</v>
      </c>
      <c r="C26" s="40">
        <f>'Q4 Projections'!G22</f>
        <v>0</v>
      </c>
      <c r="D26" s="40">
        <f>C26-B26</f>
        <v>-63684</v>
      </c>
      <c r="E26" s="40" t="s">
        <v>49</v>
      </c>
    </row>
    <row r="27" spans="1:13" ht="13.8">
      <c r="A27" s="68" t="s">
        <v>11</v>
      </c>
      <c r="B27" s="168">
        <v>2000</v>
      </c>
      <c r="C27" s="40">
        <f>'Q4 Projections'!G23</f>
        <v>7000</v>
      </c>
      <c r="D27" s="40">
        <f t="shared" ref="D27:D39" si="0">C27-B27</f>
        <v>5000</v>
      </c>
      <c r="E27" s="40" t="s">
        <v>50</v>
      </c>
    </row>
    <row r="28" spans="1:13" ht="13.8">
      <c r="A28" s="68" t="s">
        <v>12</v>
      </c>
      <c r="B28" s="168"/>
      <c r="C28" s="40">
        <f>'Q4 Projections'!G24</f>
        <v>0</v>
      </c>
      <c r="D28" s="40">
        <f t="shared" si="0"/>
        <v>0</v>
      </c>
      <c r="E28" s="40"/>
    </row>
    <row r="29" spans="1:13" ht="13.8">
      <c r="A29" s="68" t="s">
        <v>13</v>
      </c>
      <c r="B29" s="168">
        <v>93698.52</v>
      </c>
      <c r="C29" s="40">
        <f>'Q4 Projections'!G25</f>
        <v>71623.520000000004</v>
      </c>
      <c r="D29" s="40">
        <f t="shared" si="0"/>
        <v>-22075</v>
      </c>
      <c r="E29" s="172" t="s">
        <v>50</v>
      </c>
    </row>
    <row r="30" spans="1:13" ht="13.8">
      <c r="A30" s="68" t="s">
        <v>14</v>
      </c>
      <c r="B30" s="168">
        <v>3870231.96</v>
      </c>
      <c r="C30" s="40">
        <f>'Q4 Projections'!G26</f>
        <v>4399759.8499999996</v>
      </c>
      <c r="D30" s="40">
        <f t="shared" si="0"/>
        <v>529527.88999999966</v>
      </c>
      <c r="E30" s="40" t="s">
        <v>52</v>
      </c>
    </row>
    <row r="31" spans="1:13" ht="13.8">
      <c r="A31" s="68" t="s">
        <v>15</v>
      </c>
      <c r="B31" s="168"/>
      <c r="C31" s="40">
        <f>'Q4 Projections'!G27</f>
        <v>0</v>
      </c>
      <c r="D31" s="40">
        <f t="shared" si="0"/>
        <v>0</v>
      </c>
      <c r="E31" s="40"/>
    </row>
    <row r="32" spans="1:13" ht="13.8">
      <c r="A32" s="70" t="s">
        <v>16</v>
      </c>
      <c r="B32" s="168">
        <v>1171223.8799999999</v>
      </c>
      <c r="C32" s="40">
        <f>'Q4 Projections'!G28</f>
        <v>653817.88</v>
      </c>
      <c r="D32" s="40">
        <f t="shared" si="0"/>
        <v>-517405.99999999988</v>
      </c>
      <c r="E32" s="40" t="s">
        <v>50</v>
      </c>
    </row>
    <row r="33" spans="1:5" ht="13.8">
      <c r="A33" s="70" t="s">
        <v>17</v>
      </c>
      <c r="B33" s="168"/>
      <c r="C33" s="40">
        <f>'Q4 Projections'!G29</f>
        <v>0</v>
      </c>
      <c r="D33" s="40">
        <f t="shared" si="0"/>
        <v>0</v>
      </c>
      <c r="E33" s="40"/>
    </row>
    <row r="34" spans="1:5" ht="13.8">
      <c r="A34" s="68" t="s">
        <v>18</v>
      </c>
      <c r="B34" s="168">
        <v>29500</v>
      </c>
      <c r="C34" s="40">
        <f>'Q4 Projections'!G30</f>
        <v>23500</v>
      </c>
      <c r="D34" s="40">
        <f t="shared" si="0"/>
        <v>-6000</v>
      </c>
      <c r="E34" s="40" t="s">
        <v>50</v>
      </c>
    </row>
    <row r="35" spans="1:5" ht="13.8">
      <c r="A35" s="68" t="s">
        <v>19</v>
      </c>
      <c r="B35" s="168">
        <v>404490</v>
      </c>
      <c r="C35" s="40">
        <f>'Q4 Projections'!G31</f>
        <v>357990</v>
      </c>
      <c r="D35" s="40">
        <f t="shared" si="0"/>
        <v>-46500</v>
      </c>
      <c r="E35" s="40" t="s">
        <v>50</v>
      </c>
    </row>
    <row r="36" spans="1:5" ht="13.8">
      <c r="A36" s="68" t="s">
        <v>20</v>
      </c>
      <c r="B36" s="168">
        <v>115500</v>
      </c>
      <c r="C36" s="40">
        <f>'Q4 Projections'!G32</f>
        <v>129500</v>
      </c>
      <c r="D36" s="40">
        <f t="shared" si="0"/>
        <v>14000</v>
      </c>
      <c r="E36" s="40" t="s">
        <v>50</v>
      </c>
    </row>
    <row r="37" spans="1:5" ht="13.8">
      <c r="A37" s="72" t="s">
        <v>21</v>
      </c>
      <c r="B37" s="168">
        <v>75006.509999999995</v>
      </c>
      <c r="C37" s="40">
        <f>'Q4 Projections'!G33</f>
        <v>130813.51</v>
      </c>
      <c r="D37" s="40">
        <f t="shared" si="0"/>
        <v>55807</v>
      </c>
      <c r="E37" s="40" t="s">
        <v>50</v>
      </c>
    </row>
    <row r="38" spans="1:5" ht="13.8">
      <c r="A38" s="72" t="s">
        <v>22</v>
      </c>
      <c r="B38" s="169">
        <v>-2582980</v>
      </c>
      <c r="C38" s="166">
        <f>'Q4 Projections'!G34</f>
        <v>-3186042.04</v>
      </c>
      <c r="D38" s="166">
        <f t="shared" si="0"/>
        <v>-603062.04</v>
      </c>
      <c r="E38" s="40" t="s">
        <v>50</v>
      </c>
    </row>
    <row r="39" spans="1:5" ht="13.8">
      <c r="B39" s="170">
        <f>SUM(B26:B38)</f>
        <v>3242354.8699999992</v>
      </c>
      <c r="C39" s="165">
        <f>SUM(C26:C38)</f>
        <v>2587962.7199999988</v>
      </c>
      <c r="D39" s="40">
        <f t="shared" si="0"/>
        <v>-654392.15000000037</v>
      </c>
      <c r="E39" s="40"/>
    </row>
    <row r="40" spans="1:5">
      <c r="B40" s="40"/>
      <c r="C40" s="40"/>
      <c r="D40" s="40"/>
      <c r="E40" s="40"/>
    </row>
    <row r="41" spans="1:5">
      <c r="B41" s="40"/>
      <c r="C41" s="40"/>
      <c r="D41" s="40"/>
      <c r="E41" s="40"/>
    </row>
    <row r="42" spans="1:5">
      <c r="A42" t="s">
        <v>51</v>
      </c>
      <c r="B42" s="40"/>
      <c r="C42" s="167">
        <f>B19+B18+B17+D26</f>
        <v>-215189</v>
      </c>
      <c r="D42" s="40"/>
      <c r="E42" s="40"/>
    </row>
    <row r="43" spans="1:5">
      <c r="A43" t="s">
        <v>53</v>
      </c>
      <c r="B43" s="40"/>
      <c r="C43" s="167">
        <f>-35000-25000-20000-3000-3000-10000-2000-1242</f>
        <v>-99242</v>
      </c>
      <c r="D43" s="40"/>
      <c r="E43" s="40"/>
    </row>
    <row r="44" spans="1:5">
      <c r="A44" t="s">
        <v>54</v>
      </c>
      <c r="B44" s="40"/>
      <c r="C44" s="167">
        <v>0</v>
      </c>
      <c r="D44" s="40"/>
      <c r="E44" s="40"/>
    </row>
    <row r="45" spans="1:5">
      <c r="A45" t="s">
        <v>55</v>
      </c>
      <c r="B45" s="40"/>
      <c r="C45" s="173">
        <v>-179096</v>
      </c>
      <c r="D45" s="40"/>
      <c r="E45" s="40"/>
    </row>
    <row r="46" spans="1:5">
      <c r="B46" s="40"/>
      <c r="C46" s="167">
        <f>SUM(C42:C45)</f>
        <v>-493527</v>
      </c>
      <c r="D46" s="40"/>
      <c r="E46" s="40"/>
    </row>
  </sheetData>
  <mergeCells count="1">
    <mergeCell ref="A2:E2"/>
  </mergeCells>
  <pageMargins left="0.7" right="0.7" top="0.75" bottom="0.75" header="0.3" footer="0.3"/>
  <pageSetup paperSize="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Q4 Projections</vt:lpstr>
      <vt:lpstr>Sheet2</vt:lpstr>
      <vt:lpstr>Sheet1</vt:lpstr>
      <vt:lpstr>Reconciliation of Qtr 1</vt:lpstr>
      <vt:lpstr>'Q4 Projections'!Print_Area</vt:lpstr>
      <vt:lpstr>Sheet1!Print_Area</vt:lpstr>
    </vt:vector>
  </TitlesOfParts>
  <Company>Wayne State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Elms</dc:creator>
  <cp:lastModifiedBy>Angela Strickland</cp:lastModifiedBy>
  <cp:lastPrinted>2016-09-20T19:56:44Z</cp:lastPrinted>
  <dcterms:created xsi:type="dcterms:W3CDTF">2015-01-27T17:37:36Z</dcterms:created>
  <dcterms:modified xsi:type="dcterms:W3CDTF">2016-09-20T21:39:23Z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